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1"/>
  </bookViews>
  <sheets>
    <sheet name="งบทดลอง" sheetId="1" r:id="rId1"/>
    <sheet name="รับ - จ่ายเงินสด" sheetId="2" r:id="rId2"/>
    <sheet name="เปรียเทียบยอด" sheetId="3" r:id="rId3"/>
    <sheet name="หมายเหตุ 1" sheetId="4" r:id="rId4"/>
    <sheet name="หมายเหตุ 2" sheetId="5" r:id="rId5"/>
    <sheet name="กระดาษทำการกระทบยอด" sheetId="6" r:id="rId6"/>
  </sheets>
  <definedNames/>
  <calcPr fullCalcOnLoad="1"/>
</workbook>
</file>

<file path=xl/sharedStrings.xml><?xml version="1.0" encoding="utf-8"?>
<sst xmlns="http://schemas.openxmlformats.org/spreadsheetml/2006/main" count="410" uniqueCount="248">
  <si>
    <t>องค์การบริหารส่วนตำบลลาดตะเคียน</t>
  </si>
  <si>
    <t>อำเภอกบินทร์บุรี   จังหวัดปราจีนบุรี</t>
  </si>
  <si>
    <t>รายงานรับ - จ่ายเงินสด</t>
  </si>
  <si>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</si>
  <si>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</si>
  <si>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</si>
  <si>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</si>
  <si>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</si>
  <si>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รหัสบัญชี</t>
  </si>
  <si>
    <t>เดือนนี้</t>
  </si>
  <si>
    <t xml:space="preserve"> 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</si>
  <si>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</si>
  <si>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</si>
  <si>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</si>
  <si>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</si>
  <si>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</si>
  <si>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</si>
  <si>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</si>
  <si>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</si>
  <si>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</si>
  <si>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เงินอุดหนุนทั่วไปที่ระบุวัตถุประสงค์</t>
  </si>
  <si>
    <t>รวมรายรับ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</si>
  <si>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</si>
  <si>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</si>
  <si>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</si>
  <si>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</si>
  <si>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</si>
  <si>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</si>
  <si>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</si>
  <si>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</si>
  <si>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</si>
  <si>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</si>
  <si>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</si>
  <si>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</si>
  <si>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</si>
  <si>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</si>
  <si>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</si>
  <si>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</si>
  <si>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</si>
  <si>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</si>
  <si>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5000</t>
  </si>
  <si>
    <t>5130</t>
  </si>
  <si>
    <t>5200</t>
  </si>
  <si>
    <t>5250</t>
  </si>
  <si>
    <t>5270</t>
  </si>
  <si>
    <t>5300</t>
  </si>
  <si>
    <t>5400</t>
  </si>
  <si>
    <t>5450</t>
  </si>
  <si>
    <t>5500</t>
  </si>
  <si>
    <t>6500</t>
  </si>
  <si>
    <t>เงินสะสม</t>
  </si>
  <si>
    <t>นายกองค์การบริหารส่วนตำบล</t>
  </si>
  <si>
    <t>ปลัดองค์การบริหารส่วนตำบล</t>
  </si>
  <si>
    <t>หัวหน้าส่วนการคลัง</t>
  </si>
  <si>
    <t>ตรวจสอบถูกต้อง</t>
  </si>
  <si>
    <t>ยอดยกไป</t>
  </si>
  <si>
    <t>(ต่ำกว่า)</t>
  </si>
  <si>
    <t>รายรับ                                             รายจ่าย</t>
  </si>
  <si>
    <t>สูงกว่า</t>
  </si>
  <si>
    <t>รวมรายจ่าย</t>
  </si>
  <si>
    <t>เดบิท</t>
  </si>
  <si>
    <t>เครดิต</t>
  </si>
  <si>
    <t>เงินสด</t>
  </si>
  <si>
    <t>รายได้ค้างรับ</t>
  </si>
  <si>
    <t>เงินรายรับ</t>
  </si>
  <si>
    <t>เงินรับฝาก  (หมายเหตุ 1)</t>
  </si>
  <si>
    <t>รายจ่ายค้างจ่าย</t>
  </si>
  <si>
    <t>เงินสำรองเงินสะสม</t>
  </si>
  <si>
    <t>เงินฝากธนาคาร  ประเภท  -  ออมทรัพย์  (21519)</t>
  </si>
  <si>
    <t xml:space="preserve">                                           -  ออมทรัพย์  (45126)</t>
  </si>
  <si>
    <t xml:space="preserve">                                           -  ประจำ   (04495)</t>
  </si>
  <si>
    <t xml:space="preserve">                                           -  ประจำ   (05097)</t>
  </si>
  <si>
    <t>010</t>
  </si>
  <si>
    <t>023</t>
  </si>
  <si>
    <t>082</t>
  </si>
  <si>
    <t>5100</t>
  </si>
  <si>
    <t>5821</t>
  </si>
  <si>
    <t>900</t>
  </si>
  <si>
    <t>600</t>
  </si>
  <si>
    <t>700</t>
  </si>
  <si>
    <t>703</t>
  </si>
  <si>
    <t>อำเภอกบินทร์บุรี  จังหวัดปราจีนบุรี</t>
  </si>
  <si>
    <t xml:space="preserve">เงินรับฝาก  ประกอบงบทดลอง และรายงานรับ - จ่ายเงินสด </t>
  </si>
  <si>
    <t>หมายเหตุ  1</t>
  </si>
  <si>
    <t>รับ</t>
  </si>
  <si>
    <t>จ่าย</t>
  </si>
  <si>
    <t>คงเหลือ</t>
  </si>
  <si>
    <t xml:space="preserve">ภาษี ณ ที่จ่าย </t>
  </si>
  <si>
    <t>เงินมัดจำประกันสัญญา</t>
  </si>
  <si>
    <t>ค่าใช้จ่าย 5 %</t>
  </si>
  <si>
    <t>ส่วนลด 6 %</t>
  </si>
  <si>
    <t>เงินโครงการเศรษฐกิจชุมชน</t>
  </si>
  <si>
    <t>โครงการถ่ายโอน รพช.</t>
  </si>
  <si>
    <t>ยอดรวม</t>
  </si>
  <si>
    <t>หมายเหตุ  2</t>
  </si>
  <si>
    <t>ปลัด อบต.ลาดตะเคียน</t>
  </si>
  <si>
    <t>(นายพิศิษฐ   กัณหารี)</t>
  </si>
  <si>
    <t>นายก อบต.ลาดตะเคียน</t>
  </si>
  <si>
    <t>กระดาษทำการกระทบยอด</t>
  </si>
  <si>
    <t>งบประมาณรายจ่าย</t>
  </si>
  <si>
    <t>แผนงาน</t>
  </si>
  <si>
    <t>หมวด/ประเภทรายจ่าย</t>
  </si>
  <si>
    <t>00410</t>
  </si>
  <si>
    <t>00411</t>
  </si>
  <si>
    <t>00110</t>
  </si>
  <si>
    <t>00120</t>
  </si>
  <si>
    <t>00121</t>
  </si>
  <si>
    <t>00123</t>
  </si>
  <si>
    <t>00210</t>
  </si>
  <si>
    <t>00211</t>
  </si>
  <si>
    <t>00212</t>
  </si>
  <si>
    <t>00220</t>
  </si>
  <si>
    <t>00221</t>
  </si>
  <si>
    <t>00230</t>
  </si>
  <si>
    <t>00231</t>
  </si>
  <si>
    <t>00232</t>
  </si>
  <si>
    <t>00240</t>
  </si>
  <si>
    <t>00242</t>
  </si>
  <si>
    <t>00250</t>
  </si>
  <si>
    <t>00251</t>
  </si>
  <si>
    <t>00252</t>
  </si>
  <si>
    <t>00260</t>
  </si>
  <si>
    <t>00261</t>
  </si>
  <si>
    <t>00262</t>
  </si>
  <si>
    <t>00263</t>
  </si>
  <si>
    <t>00310</t>
  </si>
  <si>
    <t>00311</t>
  </si>
  <si>
    <t>00320</t>
  </si>
  <si>
    <t>00321</t>
  </si>
  <si>
    <t>รวม</t>
  </si>
  <si>
    <t>002</t>
  </si>
  <si>
    <t>003</t>
  </si>
  <si>
    <t>004</t>
  </si>
  <si>
    <t>รวมเดือนนี้</t>
  </si>
  <si>
    <t>101</t>
  </si>
  <si>
    <t>102</t>
  </si>
  <si>
    <t>103</t>
  </si>
  <si>
    <t>105</t>
  </si>
  <si>
    <t>131</t>
  </si>
  <si>
    <t>201</t>
  </si>
  <si>
    <t>203</t>
  </si>
  <si>
    <t>204</t>
  </si>
  <si>
    <t>206</t>
  </si>
  <si>
    <t>207</t>
  </si>
  <si>
    <t>208</t>
  </si>
  <si>
    <t>251</t>
  </si>
  <si>
    <t>252</t>
  </si>
  <si>
    <t>253</t>
  </si>
  <si>
    <t>254</t>
  </si>
  <si>
    <t>271</t>
  </si>
  <si>
    <t>272</t>
  </si>
  <si>
    <t>273</t>
  </si>
  <si>
    <t>275</t>
  </si>
  <si>
    <t>276</t>
  </si>
  <si>
    <t>282</t>
  </si>
  <si>
    <t>301</t>
  </si>
  <si>
    <t>303</t>
  </si>
  <si>
    <t>304</t>
  </si>
  <si>
    <t>305</t>
  </si>
  <si>
    <t>402</t>
  </si>
  <si>
    <t>403</t>
  </si>
  <si>
    <t>451</t>
  </si>
  <si>
    <t>500</t>
  </si>
  <si>
    <t>รวมตั้งแต่ต้นไป</t>
  </si>
  <si>
    <t>รวมตั้งแต่ต้นปี</t>
  </si>
  <si>
    <t>ปลัดองค์การบริหารส่วนตำบลลาดตะเคียน</t>
  </si>
  <si>
    <t>นายกองค์การบริหารส่วนตำบลลาดตะเคียน</t>
  </si>
  <si>
    <t>2</t>
  </si>
  <si>
    <t>เงินยืม - งบประมาณ</t>
  </si>
  <si>
    <t>090</t>
  </si>
  <si>
    <t xml:space="preserve">รายรับ   </t>
  </si>
  <si>
    <t>เงินยืม - สะสม</t>
  </si>
  <si>
    <t>704</t>
  </si>
  <si>
    <t>106</t>
  </si>
  <si>
    <t>6130</t>
  </si>
  <si>
    <t>6400</t>
  </si>
  <si>
    <t>6000</t>
  </si>
  <si>
    <t>6250</t>
  </si>
  <si>
    <t>6270</t>
  </si>
  <si>
    <t>(นายพิศิษฐ  กัณหารี)</t>
  </si>
  <si>
    <t>022</t>
  </si>
  <si>
    <t xml:space="preserve"> -</t>
  </si>
  <si>
    <t>งบทดลอง  (ก่อนปิดบัญชี)</t>
  </si>
  <si>
    <t>รายจ่ายค้างจ่าย (เบิกตัดปี)</t>
  </si>
  <si>
    <t>6450</t>
  </si>
  <si>
    <t>รายจ่ายรอจ่าย</t>
  </si>
  <si>
    <t>ประจำปีงบประมาณ  2554</t>
  </si>
  <si>
    <t>(นางสาวสันทนา บำรุงจิต)</t>
  </si>
  <si>
    <t>(นางสาวพิไลลักษณ์ ปะบัวบาน)</t>
  </si>
  <si>
    <t xml:space="preserve">    หัวหน้าส่วนการคลัง                                        ปลัด อบต.ลาดตะเคียน                                 นายก อบต.ลาดตะเคียน</t>
  </si>
  <si>
    <t>(นางสาวสันทนา บำรุงจิต)                            (นางสาวพิไลลักษณ์ ปะบัวบาน)                        (นายพิศิษฐ   กัณหารี)</t>
  </si>
  <si>
    <t>(นางสาวสันทนา  บำรุงจิต)</t>
  </si>
  <si>
    <t>(นางสาวพิไลลักษณ์  ปะบัวบาน)</t>
  </si>
  <si>
    <t>ธนาคาร  กรุงไทย  สาขากบินทร์บุรี</t>
  </si>
  <si>
    <t>งบกระทบยอดเงินฝากธนาคาร</t>
  </si>
  <si>
    <t>เลขที่บัญชี    233-1-21519-7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</si>
  <si>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</si>
  <si>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</si>
  <si>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</si>
  <si>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</si>
  <si>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</si>
  <si>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รายละเอียด</t>
  </si>
  <si>
    <t>ผู้จัดทำ</t>
  </si>
  <si>
    <t>ผู้ตรวจสอบ</t>
  </si>
  <si>
    <t xml:space="preserve">  (  นางสง่า      แสนศักดา )</t>
  </si>
  <si>
    <t>(  นางสาวสันทนา   บำรุงจิต )</t>
  </si>
  <si>
    <t>เจ้าพนักงานการเงินและบัญชี</t>
  </si>
  <si>
    <t>ค่าวัสดุ (รอเรียกคืน)</t>
  </si>
  <si>
    <t>เงินยืม - เงินสะสม</t>
  </si>
  <si>
    <t>เงินยืม - เงินงบประมาณ</t>
  </si>
  <si>
    <t>รายจ่ายค้างจ่าย  (เบิกตัดปี)</t>
  </si>
  <si>
    <t>เบี้ยยังชีพผู้สูงอายุ</t>
  </si>
  <si>
    <t>เบี้ยยังชีพผู้พิการ</t>
  </si>
  <si>
    <t>โครงการขดลอกคลองบ้านโปร่งเข้ม.5</t>
  </si>
  <si>
    <t>00111 (ป)</t>
  </si>
  <si>
    <t>00113 (ค)</t>
  </si>
  <si>
    <t>00241(ช)</t>
  </si>
  <si>
    <t>00241 (ช)</t>
  </si>
  <si>
    <t>302</t>
  </si>
  <si>
    <t>ค่าตอบแทนผช.ครูดูแลเด็ก</t>
  </si>
  <si>
    <t>209</t>
  </si>
  <si>
    <t>467</t>
  </si>
  <si>
    <t>7821</t>
  </si>
  <si>
    <t>283</t>
  </si>
  <si>
    <t xml:space="preserve"> เงินอุดหนุนที่ระบุวัตถุประสงค์</t>
  </si>
  <si>
    <t>เงินอุดหนุนที่ระบุวัตถุประสงค์</t>
  </si>
  <si>
    <t>เงินอุดหนุนที่ระบุวัตถุประสงค์ค้างจ่าย</t>
  </si>
  <si>
    <t xml:space="preserve">เงินอุดหนุนที่ระบุวัตถุประสงค์  ประกอบงบทดลอง และรายงานรับ - จ่ายเงินสด </t>
  </si>
  <si>
    <t>ศูนย์พัฒนาครอบครัวในชุมชนประจำปี 54</t>
  </si>
  <si>
    <t>274</t>
  </si>
  <si>
    <t>466</t>
  </si>
  <si>
    <r>
      <t>บวก</t>
    </r>
    <r>
      <rPr>
        <sz val="16"/>
        <rFont val="Angsana New"/>
        <family val="1"/>
      </rPr>
      <t xml:space="preserve"> : เงินฝากระหว่างทาง</t>
    </r>
  </si>
  <si>
    <r>
      <t>หัก</t>
    </r>
    <r>
      <rPr>
        <sz val="16"/>
        <rFont val="Angsana New"/>
        <family val="1"/>
      </rPr>
      <t xml:space="preserve"> : เช็คจ่ายที่ผู้รับยังไม่นำมาขึ้นเงินกับธนาคาร</t>
    </r>
  </si>
  <si>
    <r>
      <rPr>
        <u val="single"/>
        <sz val="16"/>
        <rFont val="Angsana New"/>
        <family val="1"/>
      </rPr>
      <t>บวก</t>
    </r>
    <r>
      <rPr>
        <sz val="16"/>
        <rFont val="Angsana New"/>
        <family val="1"/>
      </rPr>
      <t xml:space="preserve"> : หรือ  ( หัก )  รายการกระทบยอดอื่นๆ  </t>
    </r>
  </si>
  <si>
    <t>ณ   วันที่   31  พฤษภาคม   2554</t>
  </si>
  <si>
    <t xml:space="preserve">                                ประจำเดือน   พฤษภาคม  2554</t>
  </si>
  <si>
    <t>ยอดเงินคงเหลือตามรายงานธนาคาร  ณ  วันที่   31 พฤษภาคม   2554</t>
  </si>
  <si>
    <t>ยอดเงินคงเหลือตามบัญชี  ณ  วันที่  31 พฤษภาคม   2554</t>
  </si>
  <si>
    <t>ประจำเดือน     พฤษภาคม   2554</t>
  </si>
  <si>
    <t>6200</t>
  </si>
  <si>
    <t>ลูกหนี้ยืมเงินงบประมาณ</t>
  </si>
  <si>
    <t>0136009</t>
  </si>
  <si>
    <t>0136011</t>
  </si>
  <si>
    <t>0136013</t>
  </si>
  <si>
    <t>0136019</t>
  </si>
  <si>
    <t>ประจำเดือน    พฤษภาคม     2554</t>
  </si>
  <si>
    <t>281</t>
  </si>
  <si>
    <t>465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</si>
</sst>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[$-101041E]d\ mmmm\ yyyy;@"/>
    <numFmt numFmtId="189" formatCode="[$-F800]dddd\,\ mmmm\ dd\,\ yyyy"/>
    <numFmt numFmtId="190" formatCode="[$-1070000]d/m/yy;@"/>
  </numFmts>
  <fonts count="51">
    <font>
      <sz val="10"/>
      <name val="Arial"/>
      <family val="0"/>
    </font>
    <font>
      <sz val="11"/>
      <color indexed="8"/>
      <name val="Tahoma"/>
      <family val="2"/>
    </font>
    <font>
      <sz val="14"/>
      <name val="AngsanaUPC"/>
      <family val="1"/>
    </font>
    <font>
      <sz val="15"/>
      <name val="AngsanaUPC"/>
      <family val="1"/>
    </font>
    <font>
      <sz val="8"/>
      <name val="Arial"/>
      <family val="0"/>
    </font>
    <font>
      <b/>
      <sz val="15"/>
      <name val="AngsanaUPC"/>
      <family val="1"/>
    </font>
    <font>
      <b/>
      <sz val="20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UPC"/>
      <family val="1"/>
    </font>
    <font>
      <sz val="14"/>
      <name val="Arial"/>
      <family val="2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sz val="16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3" fontId="3" fillId="0" borderId="14" xfId="36" applyFont="1" applyBorder="1" applyAlignment="1">
      <alignment/>
    </xf>
    <xf numFmtId="43" fontId="3" fillId="0" borderId="13" xfId="36" applyFont="1" applyBorder="1" applyAlignment="1">
      <alignment/>
    </xf>
    <xf numFmtId="43" fontId="3" fillId="0" borderId="17" xfId="36" applyFont="1" applyBorder="1" applyAlignment="1">
      <alignment/>
    </xf>
    <xf numFmtId="43" fontId="3" fillId="0" borderId="0" xfId="36" applyFont="1" applyAlignment="1">
      <alignment/>
    </xf>
    <xf numFmtId="43" fontId="3" fillId="0" borderId="0" xfId="36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15" xfId="0" applyNumberFormat="1" applyFont="1" applyBorder="1" applyAlignment="1">
      <alignment horizontal="center" vertical="center"/>
    </xf>
    <xf numFmtId="43" fontId="3" fillId="0" borderId="18" xfId="36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right"/>
    </xf>
    <xf numFmtId="0" fontId="9" fillId="0" borderId="15" xfId="0" applyFont="1" applyBorder="1" applyAlignment="1">
      <alignment horizontal="left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/>
    </xf>
    <xf numFmtId="49" fontId="9" fillId="0" borderId="21" xfId="0" applyNumberFormat="1" applyFont="1" applyBorder="1" applyAlignment="1">
      <alignment horizontal="center" vertical="center"/>
    </xf>
    <xf numFmtId="43" fontId="9" fillId="0" borderId="21" xfId="36" applyFont="1" applyBorder="1" applyAlignment="1">
      <alignment/>
    </xf>
    <xf numFmtId="0" fontId="9" fillId="0" borderId="21" xfId="0" applyFont="1" applyBorder="1" applyAlignment="1">
      <alignment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4" xfId="0" applyFont="1" applyBorder="1" applyAlignment="1">
      <alignment/>
    </xf>
    <xf numFmtId="49" fontId="9" fillId="0" borderId="0" xfId="0" applyNumberFormat="1" applyFont="1" applyBorder="1" applyAlignment="1">
      <alignment vertical="center"/>
    </xf>
    <xf numFmtId="43" fontId="9" fillId="0" borderId="22" xfId="36" applyFont="1" applyBorder="1" applyAlignment="1">
      <alignment/>
    </xf>
    <xf numFmtId="43" fontId="9" fillId="0" borderId="23" xfId="36" applyFont="1" applyBorder="1" applyAlignment="1">
      <alignment/>
    </xf>
    <xf numFmtId="49" fontId="10" fillId="0" borderId="24" xfId="0" applyNumberFormat="1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left" vertical="center"/>
    </xf>
    <xf numFmtId="49" fontId="10" fillId="0" borderId="25" xfId="0" applyNumberFormat="1" applyFont="1" applyBorder="1" applyAlignment="1">
      <alignment vertical="center"/>
    </xf>
    <xf numFmtId="43" fontId="9" fillId="0" borderId="25" xfId="36" applyFont="1" applyBorder="1" applyAlignment="1">
      <alignment/>
    </xf>
    <xf numFmtId="49" fontId="9" fillId="0" borderId="23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vertical="center"/>
    </xf>
    <xf numFmtId="43" fontId="9" fillId="0" borderId="15" xfId="36" applyFont="1" applyBorder="1" applyAlignment="1">
      <alignment/>
    </xf>
    <xf numFmtId="49" fontId="10" fillId="0" borderId="21" xfId="0" applyNumberFormat="1" applyFont="1" applyBorder="1" applyAlignment="1">
      <alignment vertical="center"/>
    </xf>
    <xf numFmtId="43" fontId="9" fillId="0" borderId="18" xfId="36" applyFont="1" applyBorder="1" applyAlignment="1">
      <alignment/>
    </xf>
    <xf numFmtId="49" fontId="9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/>
    </xf>
    <xf numFmtId="49" fontId="10" fillId="0" borderId="21" xfId="0" applyNumberFormat="1" applyFont="1" applyBorder="1" applyAlignment="1">
      <alignment horizontal="left" vertical="center"/>
    </xf>
    <xf numFmtId="49" fontId="10" fillId="0" borderId="23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vertical="center"/>
    </xf>
    <xf numFmtId="43" fontId="9" fillId="0" borderId="26" xfId="36" applyFont="1" applyBorder="1" applyAlignment="1">
      <alignment/>
    </xf>
    <xf numFmtId="43" fontId="9" fillId="0" borderId="0" xfId="36" applyFont="1" applyBorder="1" applyAlignment="1">
      <alignment/>
    </xf>
    <xf numFmtId="43" fontId="9" fillId="0" borderId="18" xfId="0" applyNumberFormat="1" applyFont="1" applyBorder="1" applyAlignment="1">
      <alignment/>
    </xf>
    <xf numFmtId="43" fontId="9" fillId="0" borderId="24" xfId="36" applyFont="1" applyBorder="1" applyAlignment="1">
      <alignment/>
    </xf>
    <xf numFmtId="49" fontId="10" fillId="0" borderId="25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/>
    </xf>
    <xf numFmtId="43" fontId="0" fillId="0" borderId="21" xfId="36" applyFont="1" applyBorder="1" applyAlignment="1">
      <alignment/>
    </xf>
    <xf numFmtId="43" fontId="9" fillId="0" borderId="14" xfId="36" applyFont="1" applyBorder="1" applyAlignment="1">
      <alignment/>
    </xf>
    <xf numFmtId="49" fontId="9" fillId="0" borderId="14" xfId="0" applyNumberFormat="1" applyFont="1" applyBorder="1" applyAlignment="1" quotePrefix="1">
      <alignment horizontal="center" vertical="center"/>
    </xf>
    <xf numFmtId="43" fontId="3" fillId="0" borderId="14" xfId="36" applyFont="1" applyBorder="1" applyAlignment="1">
      <alignment horizontal="right"/>
    </xf>
    <xf numFmtId="43" fontId="3" fillId="0" borderId="13" xfId="36" applyFont="1" applyBorder="1" applyAlignment="1">
      <alignment horizontal="right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43" fontId="9" fillId="0" borderId="11" xfId="36" applyFont="1" applyBorder="1" applyAlignment="1">
      <alignment/>
    </xf>
    <xf numFmtId="0" fontId="13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43" fontId="2" fillId="0" borderId="11" xfId="36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3" fontId="2" fillId="0" borderId="14" xfId="36" applyFont="1" applyBorder="1" applyAlignment="1">
      <alignment/>
    </xf>
    <xf numFmtId="43" fontId="2" fillId="0" borderId="14" xfId="36" applyFont="1" applyBorder="1" applyAlignment="1">
      <alignment horizontal="right"/>
    </xf>
    <xf numFmtId="0" fontId="2" fillId="0" borderId="32" xfId="0" applyFont="1" applyBorder="1" applyAlignment="1">
      <alignment/>
    </xf>
    <xf numFmtId="43" fontId="2" fillId="0" borderId="0" xfId="36" applyFont="1" applyBorder="1" applyAlignment="1">
      <alignment/>
    </xf>
    <xf numFmtId="43" fontId="2" fillId="0" borderId="0" xfId="0" applyNumberFormat="1" applyFont="1" applyBorder="1" applyAlignment="1">
      <alignment/>
    </xf>
    <xf numFmtId="187" fontId="9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8" fillId="0" borderId="33" xfId="36" applyFont="1" applyBorder="1" applyAlignment="1">
      <alignment/>
    </xf>
    <xf numFmtId="43" fontId="7" fillId="0" borderId="34" xfId="36" applyFont="1" applyBorder="1" applyAlignment="1">
      <alignment/>
    </xf>
    <xf numFmtId="43" fontId="7" fillId="0" borderId="35" xfId="36" applyFont="1" applyBorder="1" applyAlignment="1">
      <alignment/>
    </xf>
    <xf numFmtId="43" fontId="7" fillId="0" borderId="36" xfId="36" applyFont="1" applyBorder="1" applyAlignment="1">
      <alignment/>
    </xf>
    <xf numFmtId="0" fontId="8" fillId="0" borderId="34" xfId="0" applyFont="1" applyBorder="1" applyAlignment="1">
      <alignment horizontal="center" vertical="center"/>
    </xf>
    <xf numFmtId="43" fontId="7" fillId="0" borderId="35" xfId="36" applyFont="1" applyBorder="1" applyAlignment="1">
      <alignment horizontal="right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8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3" fontId="9" fillId="0" borderId="22" xfId="36" applyFont="1" applyBorder="1" applyAlignment="1">
      <alignment horizontal="center"/>
    </xf>
    <xf numFmtId="0" fontId="14" fillId="0" borderId="0" xfId="0" applyFont="1" applyAlignment="1">
      <alignment/>
    </xf>
    <xf numFmtId="0" fontId="2" fillId="0" borderId="43" xfId="0" applyFont="1" applyBorder="1" applyAlignment="1">
      <alignment/>
    </xf>
    <xf numFmtId="43" fontId="7" fillId="0" borderId="37" xfId="36" applyFont="1" applyBorder="1" applyAlignment="1">
      <alignment/>
    </xf>
    <xf numFmtId="43" fontId="7" fillId="0" borderId="37" xfId="36" applyFont="1" applyBorder="1" applyAlignment="1">
      <alignment horizontal="right"/>
    </xf>
    <xf numFmtId="43" fontId="10" fillId="0" borderId="23" xfId="36" applyFont="1" applyBorder="1" applyAlignment="1">
      <alignment/>
    </xf>
    <xf numFmtId="49" fontId="11" fillId="0" borderId="17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43" fontId="10" fillId="0" borderId="17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44" xfId="0" applyFont="1" applyBorder="1" applyAlignment="1">
      <alignment/>
    </xf>
    <xf numFmtId="0" fontId="15" fillId="0" borderId="37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6" fillId="0" borderId="37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15" fillId="0" borderId="44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17" fillId="0" borderId="0" xfId="0" applyFont="1" applyAlignment="1">
      <alignment/>
    </xf>
    <xf numFmtId="15" fontId="7" fillId="0" borderId="37" xfId="0" applyNumberFormat="1" applyFont="1" applyBorder="1" applyAlignment="1">
      <alignment horizontal="center"/>
    </xf>
    <xf numFmtId="15" fontId="7" fillId="0" borderId="0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"/>
    </xf>
    <xf numFmtId="43" fontId="7" fillId="0" borderId="0" xfId="36" applyFont="1" applyAlignment="1">
      <alignment horizontal="center"/>
    </xf>
    <xf numFmtId="43" fontId="7" fillId="0" borderId="38" xfId="36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 quotePrefix="1">
      <alignment horizontal="center"/>
    </xf>
    <xf numFmtId="49" fontId="2" fillId="0" borderId="15" xfId="0" applyNumberFormat="1" applyFont="1" applyBorder="1" applyAlignment="1">
      <alignment horizontal="center"/>
    </xf>
    <xf numFmtId="43" fontId="2" fillId="0" borderId="17" xfId="0" applyNumberFormat="1" applyFont="1" applyBorder="1" applyAlignment="1">
      <alignment/>
    </xf>
    <xf numFmtId="43" fontId="2" fillId="0" borderId="17" xfId="36" applyFont="1" applyBorder="1" applyAlignment="1">
      <alignment/>
    </xf>
    <xf numFmtId="43" fontId="8" fillId="0" borderId="36" xfId="36" applyFont="1" applyBorder="1" applyAlignment="1">
      <alignment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3" fillId="0" borderId="46" xfId="36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90" fontId="7" fillId="0" borderId="0" xfId="0" applyNumberFormat="1" applyFont="1" applyAlignment="1">
      <alignment horizontal="center"/>
    </xf>
    <xf numFmtId="43" fontId="7" fillId="0" borderId="0" xfId="36" applyFont="1" applyBorder="1" applyAlignment="1">
      <alignment horizontal="center"/>
    </xf>
    <xf numFmtId="43" fontId="7" fillId="0" borderId="38" xfId="36" applyFont="1" applyBorder="1" applyAlignment="1">
      <alignment horizontal="center"/>
    </xf>
    <xf numFmtId="15" fontId="7" fillId="0" borderId="37" xfId="0" applyNumberFormat="1" applyFont="1" applyBorder="1" applyAlignment="1">
      <alignment horizontal="center"/>
    </xf>
    <xf numFmtId="15" fontId="7" fillId="0" borderId="0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"/>
    </xf>
    <xf numFmtId="43" fontId="7" fillId="0" borderId="0" xfId="36" applyFont="1" applyAlignment="1">
      <alignment horizontal="center"/>
    </xf>
    <xf numFmtId="188" fontId="7" fillId="0" borderId="45" xfId="0" applyNumberFormat="1" applyFont="1" applyBorder="1" applyAlignment="1">
      <alignment horizontal="center"/>
    </xf>
    <xf numFmtId="188" fontId="7" fillId="0" borderId="46" xfId="0" applyNumberFormat="1" applyFont="1" applyBorder="1" applyAlignment="1">
      <alignment horizontal="center"/>
    </xf>
    <xf numFmtId="188" fontId="7" fillId="0" borderId="47" xfId="0" applyNumberFormat="1" applyFont="1" applyBorder="1" applyAlignment="1">
      <alignment horizontal="center"/>
    </xf>
    <xf numFmtId="189" fontId="7" fillId="0" borderId="45" xfId="0" applyNumberFormat="1" applyFont="1" applyBorder="1" applyAlignment="1">
      <alignment horizontal="center"/>
    </xf>
    <xf numFmtId="189" fontId="7" fillId="0" borderId="46" xfId="0" applyNumberFormat="1" applyFont="1" applyBorder="1" applyAlignment="1">
      <alignment horizontal="center"/>
    </xf>
    <xf numFmtId="189" fontId="7" fillId="0" borderId="47" xfId="0" applyNumberFormat="1" applyFont="1" applyBorder="1" applyAlignment="1">
      <alignment horizontal="center"/>
    </xf>
    <xf numFmtId="43" fontId="8" fillId="0" borderId="45" xfId="36" applyFont="1" applyBorder="1" applyAlignment="1">
      <alignment horizontal="center"/>
    </xf>
    <xf numFmtId="43" fontId="8" fillId="0" borderId="46" xfId="36" applyFont="1" applyBorder="1" applyAlignment="1">
      <alignment horizontal="center"/>
    </xf>
    <xf numFmtId="43" fontId="8" fillId="0" borderId="47" xfId="36" applyFont="1" applyBorder="1" applyAlignment="1">
      <alignment horizontal="center"/>
    </xf>
    <xf numFmtId="43" fontId="7" fillId="0" borderId="37" xfId="0" applyNumberFormat="1" applyFont="1" applyBorder="1" applyAlignment="1">
      <alignment horizontal="center"/>
    </xf>
    <xf numFmtId="43" fontId="7" fillId="0" borderId="37" xfId="36" applyFont="1" applyBorder="1" applyAlignment="1">
      <alignment horizontal="right"/>
    </xf>
    <xf numFmtId="43" fontId="7" fillId="0" borderId="0" xfId="36" applyFont="1" applyBorder="1" applyAlignment="1">
      <alignment horizontal="right"/>
    </xf>
    <xf numFmtId="43" fontId="7" fillId="0" borderId="38" xfId="36" applyFont="1" applyBorder="1" applyAlignment="1">
      <alignment horizontal="right"/>
    </xf>
    <xf numFmtId="0" fontId="15" fillId="0" borderId="3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43" fontId="7" fillId="0" borderId="44" xfId="36" applyFont="1" applyBorder="1" applyAlignment="1">
      <alignment horizontal="center"/>
    </xf>
    <xf numFmtId="43" fontId="7" fillId="0" borderId="48" xfId="36" applyFont="1" applyBorder="1" applyAlignment="1">
      <alignment horizontal="center"/>
    </xf>
    <xf numFmtId="43" fontId="7" fillId="0" borderId="49" xfId="36" applyFont="1" applyBorder="1" applyAlignment="1">
      <alignment horizontal="center"/>
    </xf>
    <xf numFmtId="0" fontId="8" fillId="0" borderId="5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0</xdr:col>
      <xdr:colOff>800100</xdr:colOff>
      <xdr:row>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9050" y="876300"/>
          <a:ext cx="781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790575</xdr:colOff>
      <xdr:row>41</xdr:row>
      <xdr:rowOff>142875</xdr:rowOff>
    </xdr:to>
    <xdr:sp>
      <xdr:nvSpPr>
        <xdr:cNvPr id="2" name="Line 1"/>
        <xdr:cNvSpPr>
          <a:spLocks/>
        </xdr:cNvSpPr>
      </xdr:nvSpPr>
      <xdr:spPr>
        <a:xfrm>
          <a:off x="9525" y="7410450"/>
          <a:ext cx="781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9">
      <selection activeCell="B34" sqref="B34"/>
    </sheetView>
  </sheetViews>
  <sheetFormatPr defaultColWidth="9.140625" defaultRowHeight="12.75"/>
  <cols>
    <col min="1" max="1" width="5.7109375" style="1" customWidth="1"/>
    <col min="2" max="2" width="40.140625" style="1" customWidth="1"/>
    <col min="3" max="3" width="10.7109375" style="1" customWidth="1"/>
    <col min="4" max="5" width="17.57421875" style="1" customWidth="1"/>
    <col min="6" max="16384" width="9.140625" style="1" customWidth="1"/>
  </cols>
  <sheetData>
    <row r="1" spans="1:5" ht="21">
      <c r="A1" s="147" t="s">
        <v>0</v>
      </c>
      <c r="B1" s="147"/>
      <c r="C1" s="147"/>
      <c r="D1" s="147"/>
      <c r="E1" s="147"/>
    </row>
    <row r="2" spans="1:5" ht="21">
      <c r="A2" s="147" t="s">
        <v>182</v>
      </c>
      <c r="B2" s="147"/>
      <c r="C2" s="147"/>
      <c r="D2" s="147"/>
      <c r="E2" s="147"/>
    </row>
    <row r="3" spans="1:5" ht="21">
      <c r="A3" s="147" t="s">
        <v>234</v>
      </c>
      <c r="B3" s="147"/>
      <c r="C3" s="147"/>
      <c r="D3" s="147"/>
      <c r="E3" s="147"/>
    </row>
    <row r="4" spans="1:5" ht="30" customHeight="1">
      <c r="A4" s="145" t="s">
        <v>7</v>
      </c>
      <c r="B4" s="146"/>
      <c r="C4" s="81" t="s">
        <v>8</v>
      </c>
      <c r="D4" s="81" t="s">
        <v>60</v>
      </c>
      <c r="E4" s="81" t="s">
        <v>61</v>
      </c>
    </row>
    <row r="5" spans="1:5" ht="21">
      <c r="A5" s="82"/>
      <c r="B5" s="83" t="s">
        <v>62</v>
      </c>
      <c r="C5" s="138" t="s">
        <v>72</v>
      </c>
      <c r="D5" s="84">
        <v>0</v>
      </c>
      <c r="E5" s="84"/>
    </row>
    <row r="6" spans="1:5" ht="21">
      <c r="A6" s="85"/>
      <c r="B6" s="86" t="s">
        <v>68</v>
      </c>
      <c r="C6" s="139" t="s">
        <v>180</v>
      </c>
      <c r="D6" s="87">
        <v>28268687.69</v>
      </c>
      <c r="E6" s="87"/>
    </row>
    <row r="7" spans="1:5" ht="21">
      <c r="A7" s="85"/>
      <c r="B7" s="86" t="s">
        <v>69</v>
      </c>
      <c r="C7" s="139" t="s">
        <v>180</v>
      </c>
      <c r="D7" s="87">
        <v>284866.37</v>
      </c>
      <c r="E7" s="87"/>
    </row>
    <row r="8" spans="1:5" ht="21">
      <c r="A8" s="85"/>
      <c r="B8" s="86" t="s">
        <v>70</v>
      </c>
      <c r="C8" s="139" t="s">
        <v>73</v>
      </c>
      <c r="D8" s="87">
        <v>1268351.85</v>
      </c>
      <c r="E8" s="87"/>
    </row>
    <row r="9" spans="1:5" ht="21">
      <c r="A9" s="85"/>
      <c r="B9" s="86" t="s">
        <v>71</v>
      </c>
      <c r="C9" s="139" t="s">
        <v>73</v>
      </c>
      <c r="D9" s="87">
        <v>5639147.93</v>
      </c>
      <c r="E9" s="87"/>
    </row>
    <row r="10" spans="1:5" ht="21">
      <c r="A10" s="85"/>
      <c r="B10" s="86" t="s">
        <v>63</v>
      </c>
      <c r="C10" s="139" t="s">
        <v>74</v>
      </c>
      <c r="D10" s="87">
        <v>89673</v>
      </c>
      <c r="E10" s="87"/>
    </row>
    <row r="11" spans="1:5" ht="21">
      <c r="A11" s="85"/>
      <c r="B11" s="86" t="s">
        <v>31</v>
      </c>
      <c r="C11" s="139" t="s">
        <v>40</v>
      </c>
      <c r="D11" s="87">
        <v>435779</v>
      </c>
      <c r="E11" s="87"/>
    </row>
    <row r="12" spans="1:5" ht="21">
      <c r="A12" s="85"/>
      <c r="B12" s="86" t="s">
        <v>31</v>
      </c>
      <c r="C12" s="139" t="s">
        <v>176</v>
      </c>
      <c r="D12" s="87">
        <v>506000</v>
      </c>
      <c r="E12" s="87"/>
    </row>
    <row r="13" spans="1:5" ht="21">
      <c r="A13" s="85"/>
      <c r="B13" s="86" t="s">
        <v>32</v>
      </c>
      <c r="C13" s="139" t="s">
        <v>75</v>
      </c>
      <c r="D13" s="87">
        <v>2949403</v>
      </c>
      <c r="E13" s="87"/>
    </row>
    <row r="14" spans="1:5" ht="21">
      <c r="A14" s="85"/>
      <c r="B14" s="86" t="s">
        <v>33</v>
      </c>
      <c r="C14" s="139" t="s">
        <v>41</v>
      </c>
      <c r="D14" s="87">
        <v>883482</v>
      </c>
      <c r="E14" s="87"/>
    </row>
    <row r="15" spans="1:5" ht="21">
      <c r="A15" s="85"/>
      <c r="B15" s="86" t="s">
        <v>34</v>
      </c>
      <c r="C15" s="139" t="s">
        <v>42</v>
      </c>
      <c r="D15" s="87">
        <v>586368</v>
      </c>
      <c r="E15" s="87"/>
    </row>
    <row r="16" spans="1:5" ht="21">
      <c r="A16" s="85"/>
      <c r="B16" s="86" t="s">
        <v>34</v>
      </c>
      <c r="C16" s="139" t="s">
        <v>239</v>
      </c>
      <c r="D16" s="87">
        <v>39761</v>
      </c>
      <c r="E16" s="87"/>
    </row>
    <row r="17" spans="1:5" ht="21">
      <c r="A17" s="85"/>
      <c r="B17" s="86" t="s">
        <v>35</v>
      </c>
      <c r="C17" s="139" t="s">
        <v>43</v>
      </c>
      <c r="D17" s="87">
        <v>1955064.5</v>
      </c>
      <c r="E17" s="87"/>
    </row>
    <row r="18" spans="1:5" ht="21">
      <c r="A18" s="85"/>
      <c r="B18" s="86" t="s">
        <v>35</v>
      </c>
      <c r="C18" s="139" t="s">
        <v>177</v>
      </c>
      <c r="D18" s="87">
        <v>1146990</v>
      </c>
      <c r="E18" s="87"/>
    </row>
    <row r="19" spans="1:5" ht="21">
      <c r="A19" s="85"/>
      <c r="B19" s="86" t="s">
        <v>36</v>
      </c>
      <c r="C19" s="139" t="s">
        <v>44</v>
      </c>
      <c r="D19" s="87">
        <v>534826.68</v>
      </c>
      <c r="E19" s="87"/>
    </row>
    <row r="20" spans="1:5" ht="21">
      <c r="A20" s="85"/>
      <c r="B20" s="86" t="s">
        <v>36</v>
      </c>
      <c r="C20" s="139" t="s">
        <v>178</v>
      </c>
      <c r="D20" s="87">
        <v>783952</v>
      </c>
      <c r="E20" s="87"/>
    </row>
    <row r="21" spans="1:5" ht="21">
      <c r="A21" s="85"/>
      <c r="B21" s="86" t="s">
        <v>37</v>
      </c>
      <c r="C21" s="139" t="s">
        <v>45</v>
      </c>
      <c r="D21" s="87">
        <v>149842.4</v>
      </c>
      <c r="E21" s="87"/>
    </row>
    <row r="22" spans="1:5" ht="21">
      <c r="A22" s="85"/>
      <c r="B22" s="86" t="s">
        <v>19</v>
      </c>
      <c r="C22" s="139" t="s">
        <v>46</v>
      </c>
      <c r="D22" s="87">
        <v>508996.3</v>
      </c>
      <c r="E22" s="87"/>
    </row>
    <row r="23" spans="1:5" ht="21">
      <c r="A23" s="85"/>
      <c r="B23" s="86" t="s">
        <v>19</v>
      </c>
      <c r="C23" s="139" t="s">
        <v>175</v>
      </c>
      <c r="D23" s="87">
        <v>2098200</v>
      </c>
      <c r="E23" s="87"/>
    </row>
    <row r="24" spans="1:5" ht="21">
      <c r="A24" s="85"/>
      <c r="B24" s="86" t="s">
        <v>38</v>
      </c>
      <c r="C24" s="139" t="s">
        <v>47</v>
      </c>
      <c r="D24" s="87">
        <v>324332.15</v>
      </c>
      <c r="E24" s="87"/>
    </row>
    <row r="25" spans="1:5" ht="21">
      <c r="A25" s="85"/>
      <c r="B25" s="86" t="s">
        <v>38</v>
      </c>
      <c r="C25" s="139" t="s">
        <v>184</v>
      </c>
      <c r="D25" s="88">
        <v>108073</v>
      </c>
      <c r="E25" s="87"/>
    </row>
    <row r="26" spans="1:5" ht="21">
      <c r="A26" s="85"/>
      <c r="B26" s="86" t="s">
        <v>39</v>
      </c>
      <c r="C26" s="139" t="s">
        <v>49</v>
      </c>
      <c r="D26" s="88">
        <v>415000</v>
      </c>
      <c r="E26" s="87"/>
    </row>
    <row r="27" spans="1:5" ht="21">
      <c r="A27" s="85"/>
      <c r="B27" s="86" t="s">
        <v>240</v>
      </c>
      <c r="C27" s="140" t="s">
        <v>169</v>
      </c>
      <c r="D27" s="88">
        <v>0</v>
      </c>
      <c r="E27" s="87"/>
    </row>
    <row r="28" spans="1:5" ht="21">
      <c r="A28" s="85"/>
      <c r="B28" s="86" t="s">
        <v>207</v>
      </c>
      <c r="C28" s="139" t="s">
        <v>181</v>
      </c>
      <c r="D28" s="88">
        <v>78.5</v>
      </c>
      <c r="E28" s="87"/>
    </row>
    <row r="29" spans="1:5" ht="21">
      <c r="A29" s="85"/>
      <c r="B29" s="86" t="s">
        <v>64</v>
      </c>
      <c r="C29" s="139" t="s">
        <v>76</v>
      </c>
      <c r="D29" s="87"/>
      <c r="E29" s="87">
        <v>20587474.73</v>
      </c>
    </row>
    <row r="30" spans="1:5" ht="21">
      <c r="A30" s="85"/>
      <c r="B30" s="86" t="s">
        <v>183</v>
      </c>
      <c r="C30" s="139" t="s">
        <v>78</v>
      </c>
      <c r="D30" s="87"/>
      <c r="E30" s="87">
        <v>58037</v>
      </c>
    </row>
    <row r="31" spans="1:5" ht="20.25" customHeight="1">
      <c r="A31" s="85"/>
      <c r="B31" s="86" t="s">
        <v>65</v>
      </c>
      <c r="C31" s="139" t="s">
        <v>77</v>
      </c>
      <c r="D31" s="87"/>
      <c r="E31" s="87">
        <v>515502.09</v>
      </c>
    </row>
    <row r="32" spans="1:5" ht="21" hidden="1">
      <c r="A32" s="85"/>
      <c r="B32" s="86" t="s">
        <v>20</v>
      </c>
      <c r="C32" s="139"/>
      <c r="D32" s="87"/>
      <c r="E32" s="88"/>
    </row>
    <row r="33" spans="1:5" ht="21" hidden="1">
      <c r="A33" s="85"/>
      <c r="B33" s="86" t="s">
        <v>66</v>
      </c>
      <c r="C33" s="139" t="s">
        <v>78</v>
      </c>
      <c r="D33" s="87"/>
      <c r="E33" s="88"/>
    </row>
    <row r="34" spans="1:5" ht="21">
      <c r="A34" s="85"/>
      <c r="B34" s="86" t="s">
        <v>50</v>
      </c>
      <c r="C34" s="139" t="s">
        <v>79</v>
      </c>
      <c r="D34" s="87"/>
      <c r="E34" s="87">
        <v>16938110.08</v>
      </c>
    </row>
    <row r="35" spans="1:5" ht="21">
      <c r="A35" s="85"/>
      <c r="B35" s="86" t="s">
        <v>67</v>
      </c>
      <c r="C35" s="139" t="s">
        <v>80</v>
      </c>
      <c r="D35" s="87"/>
      <c r="E35" s="87">
        <v>9512220.47</v>
      </c>
    </row>
    <row r="36" spans="1:5" ht="21">
      <c r="A36" s="85"/>
      <c r="B36" s="86" t="s">
        <v>185</v>
      </c>
      <c r="C36" s="139" t="s">
        <v>181</v>
      </c>
      <c r="D36" s="87"/>
      <c r="E36" s="87">
        <v>29400</v>
      </c>
    </row>
    <row r="37" spans="1:5" ht="21">
      <c r="A37" s="89"/>
      <c r="B37" s="109" t="s">
        <v>224</v>
      </c>
      <c r="C37" s="141" t="s">
        <v>222</v>
      </c>
      <c r="D37" s="87"/>
      <c r="E37" s="87">
        <v>1336131</v>
      </c>
    </row>
    <row r="38" spans="3:5" ht="21" customHeight="1" thickBot="1">
      <c r="C38" s="17"/>
      <c r="D38" s="143">
        <f>SUM(D5:D37)</f>
        <v>48976875.37</v>
      </c>
      <c r="E38" s="142">
        <f>SUM(E29:E37)</f>
        <v>48976875.37</v>
      </c>
    </row>
    <row r="39" spans="3:5" ht="18.75" customHeight="1" thickTop="1">
      <c r="C39" s="17"/>
      <c r="D39" s="90"/>
      <c r="E39" s="91"/>
    </row>
    <row r="40" spans="2:3" ht="21">
      <c r="B40" s="1" t="s">
        <v>190</v>
      </c>
      <c r="C40" s="17"/>
    </row>
    <row r="41" spans="2:3" ht="21">
      <c r="B41" s="1" t="s">
        <v>189</v>
      </c>
      <c r="C41" s="17"/>
    </row>
    <row r="42" ht="21">
      <c r="C42" s="17"/>
    </row>
    <row r="43" ht="21">
      <c r="C43" s="17"/>
    </row>
    <row r="44" ht="21">
      <c r="C44" s="17"/>
    </row>
    <row r="45" ht="21">
      <c r="C45" s="17"/>
    </row>
    <row r="46" ht="21">
      <c r="C46" s="17"/>
    </row>
    <row r="47" ht="21">
      <c r="C47" s="17"/>
    </row>
    <row r="48" ht="21">
      <c r="C48" s="17"/>
    </row>
    <row r="49" ht="21">
      <c r="C49" s="17"/>
    </row>
    <row r="50" ht="21">
      <c r="C50" s="17"/>
    </row>
    <row r="51" ht="21">
      <c r="C51" s="17"/>
    </row>
    <row r="52" ht="21">
      <c r="C52" s="17"/>
    </row>
    <row r="53" ht="21">
      <c r="C53" s="17"/>
    </row>
    <row r="54" ht="21">
      <c r="C54" s="17"/>
    </row>
    <row r="55" ht="21">
      <c r="C55" s="17"/>
    </row>
  </sheetData>
  <sheetProtection/>
  <mergeCells count="4">
    <mergeCell ref="A4:B4"/>
    <mergeCell ref="A1:E1"/>
    <mergeCell ref="A2:E2"/>
    <mergeCell ref="A3:E3"/>
  </mergeCells>
  <printOptions/>
  <pageMargins left="0.41" right="0.25" top="0.27" bottom="0.18" header="0.25" footer="0.1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2"/>
  <sheetViews>
    <sheetView tabSelected="1" zoomScalePageLayoutView="0" workbookViewId="0" topLeftCell="A55">
      <selection activeCell="C73" sqref="C73:E73"/>
    </sheetView>
  </sheetViews>
  <sheetFormatPr defaultColWidth="9.140625" defaultRowHeight="12.75"/>
  <cols>
    <col min="1" max="2" width="16.7109375" style="2" customWidth="1"/>
    <col min="3" max="3" width="4.00390625" style="2" customWidth="1"/>
    <col min="4" max="4" width="33.57421875" style="2" customWidth="1"/>
    <col min="5" max="5" width="9.57421875" style="2" customWidth="1"/>
    <col min="6" max="6" width="16.7109375" style="2" customWidth="1"/>
    <col min="7" max="8" width="9.140625" style="2" customWidth="1"/>
    <col min="9" max="9" width="12.00390625" style="2" bestFit="1" customWidth="1"/>
    <col min="10" max="16384" width="9.140625" style="2" customWidth="1"/>
  </cols>
  <sheetData>
    <row r="1" ht="21.75">
      <c r="A1" s="3" t="s">
        <v>0</v>
      </c>
    </row>
    <row r="2" spans="1:5" ht="21.75">
      <c r="A2" s="3" t="s">
        <v>1</v>
      </c>
      <c r="E2" s="3" t="s">
        <v>186</v>
      </c>
    </row>
    <row r="3" spans="1:6" ht="29.25">
      <c r="A3" s="154" t="s">
        <v>2</v>
      </c>
      <c r="B3" s="154"/>
      <c r="C3" s="154"/>
      <c r="D3" s="154"/>
      <c r="E3" s="154"/>
      <c r="F3" s="154"/>
    </row>
    <row r="4" spans="1:6" ht="27.75" customHeight="1">
      <c r="A4" s="5" t="s">
        <v>10</v>
      </c>
      <c r="B4" s="5"/>
      <c r="C4" s="5"/>
      <c r="D4" s="6" t="s">
        <v>235</v>
      </c>
      <c r="E4" s="5"/>
      <c r="F4" s="5"/>
    </row>
    <row r="5" spans="1:6" ht="21.75">
      <c r="A5" s="168" t="s">
        <v>3</v>
      </c>
      <c r="B5" s="169"/>
      <c r="C5" s="166"/>
      <c r="D5" s="167"/>
      <c r="E5" s="170"/>
      <c r="F5" s="16" t="s">
        <v>9</v>
      </c>
    </row>
    <row r="6" spans="1:6" ht="24.75" customHeight="1">
      <c r="A6" s="8" t="s">
        <v>4</v>
      </c>
      <c r="B6" s="7" t="s">
        <v>6</v>
      </c>
      <c r="C6" s="159"/>
      <c r="D6" s="160"/>
      <c r="E6" s="164"/>
      <c r="F6" s="9" t="s">
        <v>6</v>
      </c>
    </row>
    <row r="7" spans="1:6" ht="22.5" customHeight="1" thickBot="1">
      <c r="A7" s="106" t="s">
        <v>5</v>
      </c>
      <c r="B7" s="104" t="s">
        <v>5</v>
      </c>
      <c r="C7" s="161"/>
      <c r="D7" s="162"/>
      <c r="E7" s="165"/>
      <c r="F7" s="103" t="s">
        <v>5</v>
      </c>
    </row>
    <row r="8" spans="1:6" ht="21.75">
      <c r="A8" s="18"/>
      <c r="B8" s="19">
        <v>30132373.69</v>
      </c>
      <c r="C8" s="2" t="s">
        <v>11</v>
      </c>
      <c r="E8" s="11"/>
      <c r="F8" s="18">
        <v>35362201.52</v>
      </c>
    </row>
    <row r="9" spans="1:6" ht="21.75">
      <c r="A9" s="18"/>
      <c r="B9" s="19"/>
      <c r="C9" s="3" t="s">
        <v>170</v>
      </c>
      <c r="E9" s="11" t="s">
        <v>10</v>
      </c>
      <c r="F9" s="18"/>
    </row>
    <row r="10" spans="1:6" ht="21.75">
      <c r="A10" s="18">
        <v>15975900</v>
      </c>
      <c r="B10" s="19">
        <f>9270219.74+F10</f>
        <v>11880853.690000001</v>
      </c>
      <c r="D10" s="2" t="s">
        <v>12</v>
      </c>
      <c r="E10" s="11" t="s">
        <v>22</v>
      </c>
      <c r="F10" s="18">
        <v>2610633.95</v>
      </c>
    </row>
    <row r="11" spans="1:6" ht="21.75">
      <c r="A11" s="18">
        <v>419000</v>
      </c>
      <c r="B11" s="19">
        <f>232212+F11</f>
        <v>266372</v>
      </c>
      <c r="D11" s="2" t="s">
        <v>13</v>
      </c>
      <c r="E11" s="11" t="s">
        <v>23</v>
      </c>
      <c r="F11" s="18">
        <v>34160</v>
      </c>
    </row>
    <row r="12" spans="1:6" ht="21.75">
      <c r="A12" s="18">
        <v>150000</v>
      </c>
      <c r="B12" s="19">
        <v>83457.04</v>
      </c>
      <c r="D12" s="2" t="s">
        <v>14</v>
      </c>
      <c r="E12" s="11" t="s">
        <v>24</v>
      </c>
      <c r="F12" s="18">
        <v>0</v>
      </c>
    </row>
    <row r="13" spans="1:6" ht="21.75">
      <c r="A13" s="75">
        <v>0</v>
      </c>
      <c r="B13" s="76">
        <v>0</v>
      </c>
      <c r="D13" s="2" t="s">
        <v>15</v>
      </c>
      <c r="E13" s="11" t="s">
        <v>25</v>
      </c>
      <c r="F13" s="75">
        <v>0</v>
      </c>
    </row>
    <row r="14" spans="1:6" ht="21.75">
      <c r="A14" s="18">
        <v>255000</v>
      </c>
      <c r="B14" s="19">
        <f>25036+F14</f>
        <v>33286</v>
      </c>
      <c r="D14" s="2" t="s">
        <v>16</v>
      </c>
      <c r="E14" s="11" t="s">
        <v>26</v>
      </c>
      <c r="F14" s="18">
        <v>8250</v>
      </c>
    </row>
    <row r="15" spans="1:6" ht="21.75">
      <c r="A15" s="75">
        <v>0</v>
      </c>
      <c r="B15" s="76">
        <v>0</v>
      </c>
      <c r="D15" s="2" t="s">
        <v>17</v>
      </c>
      <c r="E15" s="11" t="s">
        <v>27</v>
      </c>
      <c r="F15" s="75">
        <v>0</v>
      </c>
    </row>
    <row r="16" spans="1:6" ht="21.75">
      <c r="A16" s="75">
        <v>0</v>
      </c>
      <c r="B16" s="76"/>
      <c r="D16" s="2" t="s">
        <v>18</v>
      </c>
      <c r="E16" s="11" t="s">
        <v>28</v>
      </c>
      <c r="F16" s="75">
        <v>0</v>
      </c>
    </row>
    <row r="17" spans="1:6" ht="21.75">
      <c r="A17" s="18">
        <v>8050100</v>
      </c>
      <c r="B17" s="19">
        <v>8323506</v>
      </c>
      <c r="D17" s="2" t="s">
        <v>19</v>
      </c>
      <c r="E17" s="11" t="s">
        <v>29</v>
      </c>
      <c r="F17" s="75">
        <v>0</v>
      </c>
    </row>
    <row r="18" spans="1:6" ht="22.5" thickBot="1">
      <c r="A18" s="20">
        <f>SUM(A8:A17)</f>
        <v>24850000</v>
      </c>
      <c r="B18" s="20">
        <f>SUM(B10:B17)</f>
        <v>20587474.73</v>
      </c>
      <c r="E18" s="11"/>
      <c r="F18" s="20">
        <f>SUM(F9:F17)</f>
        <v>2653043.95</v>
      </c>
    </row>
    <row r="19" spans="1:6" ht="22.5" thickTop="1">
      <c r="A19" s="21"/>
      <c r="B19" s="18">
        <v>4662.82</v>
      </c>
      <c r="D19" s="2" t="s">
        <v>50</v>
      </c>
      <c r="E19" s="11" t="s">
        <v>79</v>
      </c>
      <c r="F19" s="75">
        <v>0</v>
      </c>
    </row>
    <row r="20" spans="1:6" ht="21.75">
      <c r="A20" s="21"/>
      <c r="B20" s="18">
        <f>741044.75+F20</f>
        <v>787212.95</v>
      </c>
      <c r="D20" s="2" t="s">
        <v>65</v>
      </c>
      <c r="E20" s="11" t="s">
        <v>77</v>
      </c>
      <c r="F20" s="18">
        <v>46168.2</v>
      </c>
    </row>
    <row r="21" spans="1:6" ht="21.75">
      <c r="A21" s="21"/>
      <c r="B21" s="18">
        <f>175200+F21</f>
        <v>277700</v>
      </c>
      <c r="D21" s="2" t="s">
        <v>209</v>
      </c>
      <c r="E21" s="11" t="s">
        <v>169</v>
      </c>
      <c r="F21" s="18">
        <v>102500</v>
      </c>
    </row>
    <row r="22" spans="1:6" ht="21.75">
      <c r="A22" s="21"/>
      <c r="B22" s="18">
        <f>1268490+F22</f>
        <v>1304232</v>
      </c>
      <c r="D22" s="2" t="s">
        <v>208</v>
      </c>
      <c r="E22" s="11" t="s">
        <v>172</v>
      </c>
      <c r="F22" s="18">
        <v>35742</v>
      </c>
    </row>
    <row r="23" spans="1:6" ht="21.75">
      <c r="A23" s="21"/>
      <c r="B23" s="18">
        <f>8537362.34+F23</f>
        <v>8874846.34</v>
      </c>
      <c r="D23" s="2" t="s">
        <v>225</v>
      </c>
      <c r="E23" s="12" t="s">
        <v>222</v>
      </c>
      <c r="F23" s="18">
        <v>337484</v>
      </c>
    </row>
    <row r="24" spans="1:6" ht="21.75">
      <c r="A24" s="21"/>
      <c r="B24" s="18"/>
      <c r="E24" s="15"/>
      <c r="F24" s="18"/>
    </row>
    <row r="25" spans="1:6" ht="21.75">
      <c r="A25" s="21"/>
      <c r="B25" s="18"/>
      <c r="E25" s="15"/>
      <c r="F25" s="18"/>
    </row>
    <row r="26" spans="1:6" ht="21.75">
      <c r="A26" s="21"/>
      <c r="B26" s="18"/>
      <c r="E26" s="15"/>
      <c r="F26" s="18"/>
    </row>
    <row r="27" spans="1:6" ht="21.75">
      <c r="A27" s="21"/>
      <c r="B27" s="18"/>
      <c r="E27" s="15"/>
      <c r="F27" s="18"/>
    </row>
    <row r="28" spans="1:6" ht="21.75">
      <c r="A28" s="21"/>
      <c r="B28" s="18"/>
      <c r="E28" s="15"/>
      <c r="F28" s="18"/>
    </row>
    <row r="29" spans="1:6" ht="21.75">
      <c r="A29" s="21"/>
      <c r="B29" s="18"/>
      <c r="E29" s="15"/>
      <c r="F29" s="18"/>
    </row>
    <row r="30" spans="1:6" ht="21.75">
      <c r="A30" s="21"/>
      <c r="B30" s="26">
        <f>SUM(B19:B29)</f>
        <v>11248654.11</v>
      </c>
      <c r="E30" s="10"/>
      <c r="F30" s="26">
        <f>SUM(F19:F29)</f>
        <v>521894.2</v>
      </c>
    </row>
    <row r="31" spans="1:6" ht="22.5" thickBot="1">
      <c r="A31" s="21"/>
      <c r="B31" s="20">
        <f>B18+B30</f>
        <v>31836128.84</v>
      </c>
      <c r="D31" s="4" t="s">
        <v>21</v>
      </c>
      <c r="E31" s="10"/>
      <c r="F31" s="20">
        <f>F18+F30</f>
        <v>3174938.1500000004</v>
      </c>
    </row>
    <row r="32" spans="1:6" ht="22.5" thickTop="1">
      <c r="A32" s="22"/>
      <c r="B32" s="22"/>
      <c r="C32" s="13"/>
      <c r="D32" s="14"/>
      <c r="E32" s="15"/>
      <c r="F32" s="13"/>
    </row>
    <row r="33" spans="1:6" ht="21.75">
      <c r="A33" s="22"/>
      <c r="B33" s="22"/>
      <c r="C33" s="13"/>
      <c r="D33" s="14"/>
      <c r="E33" s="15"/>
      <c r="F33" s="13"/>
    </row>
    <row r="34" spans="1:6" ht="21.75">
      <c r="A34" s="22"/>
      <c r="B34" s="22"/>
      <c r="C34" s="13"/>
      <c r="D34" s="14"/>
      <c r="E34" s="15"/>
      <c r="F34" s="13"/>
    </row>
    <row r="35" spans="1:6" ht="21.75">
      <c r="A35" s="22"/>
      <c r="B35" s="22"/>
      <c r="C35" s="13"/>
      <c r="D35" s="14"/>
      <c r="E35" s="15"/>
      <c r="F35" s="13"/>
    </row>
    <row r="36" spans="1:6" ht="21.75">
      <c r="A36" s="22"/>
      <c r="B36" s="22"/>
      <c r="C36" s="13"/>
      <c r="D36" s="14"/>
      <c r="E36" s="15"/>
      <c r="F36" s="13"/>
    </row>
    <row r="37" spans="1:6" ht="21.75">
      <c r="A37" s="22"/>
      <c r="B37" s="22"/>
      <c r="C37" s="13"/>
      <c r="D37" s="14"/>
      <c r="E37" s="15"/>
      <c r="F37" s="13"/>
    </row>
    <row r="38" spans="1:6" ht="21.75">
      <c r="A38" s="22"/>
      <c r="B38" s="22"/>
      <c r="C38" s="13"/>
      <c r="D38" s="14"/>
      <c r="E38" s="15"/>
      <c r="F38" s="13"/>
    </row>
    <row r="39" spans="1:6" ht="21.75">
      <c r="A39" s="22"/>
      <c r="B39" s="22"/>
      <c r="C39" s="13"/>
      <c r="D39" s="14"/>
      <c r="E39" s="15"/>
      <c r="F39" s="13"/>
    </row>
    <row r="40" spans="1:6" ht="22.5" thickBot="1">
      <c r="A40" s="171">
        <v>2</v>
      </c>
      <c r="B40" s="171"/>
      <c r="C40" s="171"/>
      <c r="D40" s="171"/>
      <c r="E40" s="171"/>
      <c r="F40" s="171"/>
    </row>
    <row r="41" spans="1:6" ht="21.75">
      <c r="A41" s="155" t="s">
        <v>3</v>
      </c>
      <c r="B41" s="156"/>
      <c r="C41" s="157" t="s">
        <v>7</v>
      </c>
      <c r="D41" s="158"/>
      <c r="E41" s="163" t="s">
        <v>8</v>
      </c>
      <c r="F41" s="105" t="s">
        <v>9</v>
      </c>
    </row>
    <row r="42" spans="1:6" ht="21.75">
      <c r="A42" s="8" t="s">
        <v>4</v>
      </c>
      <c r="B42" s="7" t="s">
        <v>6</v>
      </c>
      <c r="C42" s="159"/>
      <c r="D42" s="160"/>
      <c r="E42" s="164"/>
      <c r="F42" s="9" t="s">
        <v>6</v>
      </c>
    </row>
    <row r="43" spans="1:6" ht="22.5" thickBot="1">
      <c r="A43" s="106" t="s">
        <v>5</v>
      </c>
      <c r="B43" s="104" t="s">
        <v>5</v>
      </c>
      <c r="C43" s="161"/>
      <c r="D43" s="162"/>
      <c r="E43" s="165"/>
      <c r="F43" s="103" t="s">
        <v>5</v>
      </c>
    </row>
    <row r="44" spans="1:6" ht="21.75">
      <c r="A44" s="18"/>
      <c r="B44" s="19"/>
      <c r="C44" s="3" t="s">
        <v>30</v>
      </c>
      <c r="E44" s="11"/>
      <c r="F44" s="18"/>
    </row>
    <row r="45" spans="1:6" ht="21.75">
      <c r="A45" s="18">
        <v>902323</v>
      </c>
      <c r="B45" s="19">
        <f>422199+F45</f>
        <v>435779</v>
      </c>
      <c r="C45" s="2" t="s">
        <v>10</v>
      </c>
      <c r="D45" s="2" t="s">
        <v>31</v>
      </c>
      <c r="E45" s="11" t="s">
        <v>40</v>
      </c>
      <c r="F45" s="18">
        <v>13580</v>
      </c>
    </row>
    <row r="46" spans="1:6" ht="21.75">
      <c r="A46" s="18">
        <v>927600</v>
      </c>
      <c r="B46" s="76">
        <f>500500+F46</f>
        <v>506000</v>
      </c>
      <c r="D46" s="2" t="s">
        <v>31</v>
      </c>
      <c r="E46" s="11" t="s">
        <v>176</v>
      </c>
      <c r="F46" s="75">
        <v>5500</v>
      </c>
    </row>
    <row r="47" spans="1:6" ht="21.75">
      <c r="A47" s="18">
        <v>4593960</v>
      </c>
      <c r="B47" s="19">
        <f>2545993+F47</f>
        <v>2949403</v>
      </c>
      <c r="D47" s="2" t="s">
        <v>32</v>
      </c>
      <c r="E47" s="11" t="s">
        <v>75</v>
      </c>
      <c r="F47" s="18">
        <v>403410</v>
      </c>
    </row>
    <row r="48" spans="1:6" ht="21.75">
      <c r="A48" s="18">
        <v>1508040</v>
      </c>
      <c r="B48" s="19">
        <f>764768+F48</f>
        <v>883482</v>
      </c>
      <c r="D48" s="2" t="s">
        <v>33</v>
      </c>
      <c r="E48" s="11" t="s">
        <v>41</v>
      </c>
      <c r="F48" s="18">
        <v>118714</v>
      </c>
    </row>
    <row r="49" spans="1:6" ht="21.75">
      <c r="A49" s="18">
        <v>430560</v>
      </c>
      <c r="B49" s="19">
        <v>0</v>
      </c>
      <c r="D49" s="2" t="s">
        <v>33</v>
      </c>
      <c r="E49" s="11" t="s">
        <v>174</v>
      </c>
      <c r="F49" s="18">
        <v>0</v>
      </c>
    </row>
    <row r="50" spans="1:6" ht="21.75">
      <c r="A50" s="18">
        <v>1744380</v>
      </c>
      <c r="B50" s="19">
        <f>538973+F50</f>
        <v>586368</v>
      </c>
      <c r="D50" s="2" t="s">
        <v>34</v>
      </c>
      <c r="E50" s="11" t="s">
        <v>42</v>
      </c>
      <c r="F50" s="18">
        <v>47395</v>
      </c>
    </row>
    <row r="51" spans="1:6" ht="21.75">
      <c r="A51" s="18">
        <v>0</v>
      </c>
      <c r="B51" s="19">
        <v>39761</v>
      </c>
      <c r="D51" s="2" t="s">
        <v>34</v>
      </c>
      <c r="E51" s="11" t="s">
        <v>239</v>
      </c>
      <c r="F51" s="18">
        <v>39761</v>
      </c>
    </row>
    <row r="52" spans="1:6" ht="21.75">
      <c r="A52" s="18">
        <v>5150197</v>
      </c>
      <c r="B52" s="19">
        <f>1644763.5+F52</f>
        <v>1955064.5</v>
      </c>
      <c r="D52" s="2" t="s">
        <v>35</v>
      </c>
      <c r="E52" s="11" t="s">
        <v>43</v>
      </c>
      <c r="F52" s="18">
        <v>310301</v>
      </c>
    </row>
    <row r="53" spans="1:6" ht="21.75">
      <c r="A53" s="18">
        <v>2395628</v>
      </c>
      <c r="B53" s="76">
        <f>326990+F53</f>
        <v>1146990</v>
      </c>
      <c r="D53" s="2" t="s">
        <v>35</v>
      </c>
      <c r="E53" s="11" t="s">
        <v>177</v>
      </c>
      <c r="F53" s="75">
        <v>820000</v>
      </c>
    </row>
    <row r="54" spans="1:6" ht="21.75">
      <c r="A54" s="18">
        <v>1545000</v>
      </c>
      <c r="B54" s="19">
        <f>463061.98+F54</f>
        <v>534826.6799999999</v>
      </c>
      <c r="D54" s="2" t="s">
        <v>36</v>
      </c>
      <c r="E54" s="11" t="s">
        <v>44</v>
      </c>
      <c r="F54" s="18">
        <v>71764.7</v>
      </c>
    </row>
    <row r="55" spans="1:6" ht="21.75">
      <c r="A55" s="18">
        <v>1646900</v>
      </c>
      <c r="B55" s="76">
        <f>684646+F55</f>
        <v>783952</v>
      </c>
      <c r="D55" s="2" t="s">
        <v>36</v>
      </c>
      <c r="E55" s="11" t="s">
        <v>178</v>
      </c>
      <c r="F55" s="75">
        <v>99306</v>
      </c>
    </row>
    <row r="56" spans="1:6" ht="21.75">
      <c r="A56" s="18">
        <v>405000</v>
      </c>
      <c r="B56" s="19">
        <f>130576.03+F56</f>
        <v>149842.4</v>
      </c>
      <c r="D56" s="2" t="s">
        <v>37</v>
      </c>
      <c r="E56" s="11" t="s">
        <v>45</v>
      </c>
      <c r="F56" s="18">
        <v>19266.37</v>
      </c>
    </row>
    <row r="57" spans="1:6" ht="21.75">
      <c r="A57" s="18">
        <v>254000</v>
      </c>
      <c r="B57" s="19">
        <v>508996.3</v>
      </c>
      <c r="D57" s="2" t="s">
        <v>19</v>
      </c>
      <c r="E57" s="11" t="s">
        <v>46</v>
      </c>
      <c r="F57" s="75">
        <v>0</v>
      </c>
    </row>
    <row r="58" spans="1:6" ht="21.75">
      <c r="A58" s="18">
        <v>2098200</v>
      </c>
      <c r="B58" s="19">
        <v>2098200</v>
      </c>
      <c r="D58" s="2" t="s">
        <v>19</v>
      </c>
      <c r="E58" s="11" t="s">
        <v>175</v>
      </c>
      <c r="F58" s="75">
        <v>0</v>
      </c>
    </row>
    <row r="59" spans="1:6" ht="21.75">
      <c r="A59" s="18">
        <v>697000</v>
      </c>
      <c r="B59" s="76">
        <f>121182.95+F59</f>
        <v>324332.15</v>
      </c>
      <c r="D59" s="2" t="s">
        <v>38</v>
      </c>
      <c r="E59" s="11" t="s">
        <v>47</v>
      </c>
      <c r="F59" s="75">
        <v>203149.2</v>
      </c>
    </row>
    <row r="60" spans="1:6" ht="21.75">
      <c r="A60" s="18">
        <v>126400</v>
      </c>
      <c r="B60" s="76">
        <f>108073+F60</f>
        <v>108073</v>
      </c>
      <c r="D60" s="2" t="s">
        <v>38</v>
      </c>
      <c r="E60" s="11" t="s">
        <v>184</v>
      </c>
      <c r="F60" s="75">
        <v>0</v>
      </c>
    </row>
    <row r="61" spans="1:6" ht="21.75">
      <c r="A61" s="18">
        <v>0</v>
      </c>
      <c r="B61" s="76">
        <v>0</v>
      </c>
      <c r="D61" s="2" t="s">
        <v>39</v>
      </c>
      <c r="E61" s="11" t="s">
        <v>48</v>
      </c>
      <c r="F61" s="75">
        <v>0</v>
      </c>
    </row>
    <row r="62" spans="1:6" ht="21.75">
      <c r="A62" s="18">
        <v>424812</v>
      </c>
      <c r="B62" s="76">
        <f>0+F62</f>
        <v>415000</v>
      </c>
      <c r="D62" s="2" t="s">
        <v>39</v>
      </c>
      <c r="E62" s="11" t="s">
        <v>49</v>
      </c>
      <c r="F62" s="75">
        <v>415000</v>
      </c>
    </row>
    <row r="63" spans="1:6" ht="22.5" thickBot="1">
      <c r="A63" s="20">
        <f>SUM(A45:A62)</f>
        <v>24850000</v>
      </c>
      <c r="B63" s="20">
        <f>SUM(B45:B62)</f>
        <v>13426070.030000001</v>
      </c>
      <c r="E63" s="11"/>
      <c r="F63" s="20">
        <f>SUM(F45:F62)</f>
        <v>2567147.27</v>
      </c>
    </row>
    <row r="64" spans="2:6" ht="22.5" thickTop="1">
      <c r="B64" s="18">
        <f>7046933.34+F64</f>
        <v>7538715.34</v>
      </c>
      <c r="D64" s="1" t="s">
        <v>225</v>
      </c>
      <c r="E64" s="11" t="s">
        <v>222</v>
      </c>
      <c r="F64" s="75">
        <v>491782</v>
      </c>
    </row>
    <row r="65" spans="2:6" ht="21.75">
      <c r="B65" s="18">
        <v>199000</v>
      </c>
      <c r="D65" s="1" t="s">
        <v>226</v>
      </c>
      <c r="E65" s="11" t="s">
        <v>181</v>
      </c>
      <c r="F65" s="75">
        <v>0</v>
      </c>
    </row>
    <row r="66" spans="2:6" ht="21.75">
      <c r="B66" s="18">
        <v>0</v>
      </c>
      <c r="D66" s="2" t="s">
        <v>50</v>
      </c>
      <c r="E66" s="11" t="s">
        <v>79</v>
      </c>
      <c r="F66" s="75">
        <v>0</v>
      </c>
    </row>
    <row r="67" spans="2:6" ht="21.75">
      <c r="B67" s="18">
        <v>1875963</v>
      </c>
      <c r="D67" s="2" t="s">
        <v>210</v>
      </c>
      <c r="E67" s="11" t="s">
        <v>78</v>
      </c>
      <c r="F67" s="18">
        <v>0</v>
      </c>
    </row>
    <row r="68" spans="2:6" ht="21.75">
      <c r="B68" s="18">
        <f>1107713.76+F68</f>
        <v>1123168.32</v>
      </c>
      <c r="D68" s="2" t="s">
        <v>65</v>
      </c>
      <c r="E68" s="11" t="s">
        <v>77</v>
      </c>
      <c r="F68" s="18">
        <v>15454.56</v>
      </c>
    </row>
    <row r="69" spans="2:6" ht="21.75">
      <c r="B69" s="18">
        <f>1284530+F69</f>
        <v>1286232</v>
      </c>
      <c r="D69" s="2" t="s">
        <v>171</v>
      </c>
      <c r="E69" s="11" t="s">
        <v>172</v>
      </c>
      <c r="F69" s="75">
        <v>1702</v>
      </c>
    </row>
    <row r="70" spans="2:6" ht="21.75">
      <c r="B70" s="18">
        <f>277700+F70</f>
        <v>277700</v>
      </c>
      <c r="D70" s="2" t="s">
        <v>168</v>
      </c>
      <c r="E70" s="11" t="s">
        <v>169</v>
      </c>
      <c r="F70" s="18">
        <v>0</v>
      </c>
    </row>
    <row r="71" spans="2:6" ht="21.75">
      <c r="B71" s="18">
        <v>780900</v>
      </c>
      <c r="D71" s="2" t="s">
        <v>185</v>
      </c>
      <c r="E71" s="11" t="s">
        <v>181</v>
      </c>
      <c r="F71" s="18">
        <v>0</v>
      </c>
    </row>
    <row r="72" spans="2:6" ht="21.75">
      <c r="B72" s="18"/>
      <c r="E72" s="12"/>
      <c r="F72" s="18"/>
    </row>
    <row r="73" spans="2:6" ht="21.75">
      <c r="B73" s="26">
        <f>SUM(B64:B72)</f>
        <v>13081678.66</v>
      </c>
      <c r="C73" s="148"/>
      <c r="D73" s="149"/>
      <c r="E73" s="150"/>
      <c r="F73" s="26">
        <f>SUM(F64:F72)</f>
        <v>508938.56</v>
      </c>
    </row>
    <row r="74" spans="2:6" ht="21.75">
      <c r="B74" s="26">
        <f>B63+B73</f>
        <v>26507748.69</v>
      </c>
      <c r="C74" s="151" t="s">
        <v>59</v>
      </c>
      <c r="D74" s="152"/>
      <c r="E74" s="153"/>
      <c r="F74" s="26">
        <f>F63+F73</f>
        <v>3076085.83</v>
      </c>
    </row>
    <row r="75" spans="2:6" ht="21.75">
      <c r="B75" s="18">
        <f>F8-B8+F75</f>
        <v>5328680.150000002</v>
      </c>
      <c r="C75" s="151" t="s">
        <v>58</v>
      </c>
      <c r="D75" s="152"/>
      <c r="E75" s="153"/>
      <c r="F75" s="18">
        <f>F31-F74</f>
        <v>98852.3200000003</v>
      </c>
    </row>
    <row r="76" spans="2:6" ht="21.75">
      <c r="B76" s="18"/>
      <c r="C76" s="151" t="s">
        <v>57</v>
      </c>
      <c r="D76" s="152"/>
      <c r="E76" s="153"/>
      <c r="F76" s="18"/>
    </row>
    <row r="77" spans="2:6" ht="21.75">
      <c r="B77" s="18"/>
      <c r="C77" s="151" t="s">
        <v>56</v>
      </c>
      <c r="D77" s="152"/>
      <c r="E77" s="153"/>
      <c r="F77" s="18"/>
    </row>
    <row r="78" spans="2:6" ht="26.25" customHeight="1" thickBot="1">
      <c r="B78" s="20">
        <f>B8+B75</f>
        <v>35461053.84</v>
      </c>
      <c r="C78" s="151" t="s">
        <v>55</v>
      </c>
      <c r="D78" s="152"/>
      <c r="E78" s="153"/>
      <c r="F78" s="20">
        <f>F8+F75</f>
        <v>35461053.84</v>
      </c>
    </row>
    <row r="79" spans="1:6" ht="25.5" customHeight="1" thickTop="1">
      <c r="A79" s="149" t="s">
        <v>54</v>
      </c>
      <c r="B79" s="149"/>
      <c r="C79" s="149" t="s">
        <v>54</v>
      </c>
      <c r="D79" s="149"/>
      <c r="E79" s="172" t="s">
        <v>54</v>
      </c>
      <c r="F79" s="172"/>
    </row>
    <row r="80" ht="32.25" customHeight="1">
      <c r="E80" s="10"/>
    </row>
    <row r="81" spans="1:6" ht="16.5" customHeight="1">
      <c r="A81" s="149" t="s">
        <v>187</v>
      </c>
      <c r="B81" s="149"/>
      <c r="C81" s="149" t="s">
        <v>188</v>
      </c>
      <c r="D81" s="149"/>
      <c r="E81" s="172" t="s">
        <v>179</v>
      </c>
      <c r="F81" s="172"/>
    </row>
    <row r="82" spans="1:6" ht="21.75">
      <c r="A82" s="149" t="s">
        <v>53</v>
      </c>
      <c r="B82" s="149"/>
      <c r="C82" s="149" t="s">
        <v>52</v>
      </c>
      <c r="D82" s="149"/>
      <c r="E82" s="172" t="s">
        <v>51</v>
      </c>
      <c r="F82" s="172"/>
    </row>
    <row r="83" ht="21.75">
      <c r="E83" s="10"/>
    </row>
    <row r="84" ht="21.75">
      <c r="E84" s="10"/>
    </row>
    <row r="85" ht="21.75">
      <c r="E85" s="10"/>
    </row>
    <row r="86" ht="21.75">
      <c r="E86" s="10"/>
    </row>
    <row r="87" ht="21.75">
      <c r="E87" s="10"/>
    </row>
    <row r="88" ht="21.75">
      <c r="E88" s="10"/>
    </row>
    <row r="89" ht="21.75">
      <c r="E89" s="10"/>
    </row>
    <row r="90" ht="21.75">
      <c r="E90" s="10"/>
    </row>
    <row r="91" ht="21.75">
      <c r="E91" s="10"/>
    </row>
    <row r="92" ht="21.75">
      <c r="E92" s="10"/>
    </row>
    <row r="93" ht="21.75">
      <c r="E93" s="10"/>
    </row>
    <row r="94" ht="21.75">
      <c r="E94" s="10"/>
    </row>
    <row r="95" ht="21.75">
      <c r="E95" s="10"/>
    </row>
    <row r="96" ht="21.75">
      <c r="E96" s="10"/>
    </row>
    <row r="97" ht="21.75">
      <c r="E97" s="10"/>
    </row>
    <row r="98" ht="21.75">
      <c r="E98" s="10"/>
    </row>
    <row r="99" ht="21.75">
      <c r="E99" s="10"/>
    </row>
    <row r="100" ht="21.75">
      <c r="E100" s="10"/>
    </row>
    <row r="101" ht="21.75">
      <c r="E101" s="10"/>
    </row>
    <row r="102" ht="21.75">
      <c r="E102" s="10"/>
    </row>
    <row r="103" ht="21.75">
      <c r="E103" s="10"/>
    </row>
    <row r="104" ht="21.75">
      <c r="E104" s="10"/>
    </row>
    <row r="105" ht="21.75">
      <c r="E105" s="10"/>
    </row>
    <row r="106" ht="21.75">
      <c r="E106" s="10"/>
    </row>
    <row r="107" ht="21.75">
      <c r="E107" s="10"/>
    </row>
    <row r="108" ht="21.75">
      <c r="E108" s="10"/>
    </row>
    <row r="109" ht="21.75">
      <c r="E109" s="10"/>
    </row>
    <row r="110" ht="21.75">
      <c r="E110" s="10"/>
    </row>
    <row r="111" ht="21.75">
      <c r="E111" s="10"/>
    </row>
    <row r="112" ht="21.75">
      <c r="E112" s="10"/>
    </row>
    <row r="113" ht="21.75">
      <c r="E113" s="10"/>
    </row>
    <row r="114" ht="21.75">
      <c r="E114" s="10"/>
    </row>
    <row r="115" ht="21.75">
      <c r="E115" s="10"/>
    </row>
    <row r="116" ht="21.75">
      <c r="E116" s="10"/>
    </row>
    <row r="117" ht="21.75">
      <c r="E117" s="10"/>
    </row>
    <row r="118" ht="21.75">
      <c r="E118" s="10"/>
    </row>
    <row r="119" ht="21.75">
      <c r="E119" s="10"/>
    </row>
    <row r="120" ht="21.75">
      <c r="E120" s="10"/>
    </row>
    <row r="121" ht="21.75">
      <c r="E121" s="10"/>
    </row>
    <row r="122" ht="21.75">
      <c r="E122" s="10"/>
    </row>
    <row r="123" ht="21.75">
      <c r="E123" s="10"/>
    </row>
    <row r="124" ht="21.75">
      <c r="E124" s="10"/>
    </row>
    <row r="125" ht="21.75">
      <c r="E125" s="10"/>
    </row>
    <row r="126" ht="21.75">
      <c r="E126" s="10"/>
    </row>
    <row r="127" ht="21.75">
      <c r="E127" s="10"/>
    </row>
    <row r="128" ht="21.75">
      <c r="E128" s="10"/>
    </row>
    <row r="129" ht="21.75">
      <c r="E129" s="10"/>
    </row>
    <row r="130" ht="21.75">
      <c r="E130" s="10"/>
    </row>
    <row r="131" ht="21.75">
      <c r="E131" s="10"/>
    </row>
    <row r="132" ht="21.75">
      <c r="E132" s="10"/>
    </row>
    <row r="133" ht="21.75">
      <c r="E133" s="10"/>
    </row>
    <row r="134" ht="21.75">
      <c r="E134" s="10"/>
    </row>
    <row r="135" ht="21.75">
      <c r="E135" s="10"/>
    </row>
    <row r="136" ht="21.75">
      <c r="E136" s="10"/>
    </row>
    <row r="137" ht="21.75">
      <c r="E137" s="10"/>
    </row>
    <row r="138" ht="21.75">
      <c r="E138" s="10"/>
    </row>
    <row r="139" ht="21.75">
      <c r="E139" s="10"/>
    </row>
    <row r="140" ht="21.75">
      <c r="E140" s="10"/>
    </row>
    <row r="141" ht="21.75">
      <c r="E141" s="10"/>
    </row>
    <row r="142" ht="21.75">
      <c r="E142" s="10"/>
    </row>
    <row r="143" ht="21.75">
      <c r="E143" s="10"/>
    </row>
    <row r="144" ht="21.75">
      <c r="E144" s="10"/>
    </row>
    <row r="145" ht="21.75">
      <c r="E145" s="10"/>
    </row>
    <row r="146" ht="21.75">
      <c r="E146" s="10"/>
    </row>
    <row r="147" ht="21.75">
      <c r="E147" s="10"/>
    </row>
    <row r="148" ht="21.75">
      <c r="E148" s="10"/>
    </row>
    <row r="149" ht="21.75">
      <c r="E149" s="10"/>
    </row>
    <row r="150" ht="21.75">
      <c r="E150" s="10"/>
    </row>
    <row r="151" ht="21.75">
      <c r="E151" s="10"/>
    </row>
    <row r="152" ht="21.75">
      <c r="E152" s="10"/>
    </row>
    <row r="153" ht="21.75">
      <c r="E153" s="10"/>
    </row>
    <row r="154" ht="21.75">
      <c r="E154" s="10"/>
    </row>
    <row r="155" ht="21.75">
      <c r="E155" s="10"/>
    </row>
    <row r="156" ht="21.75">
      <c r="E156" s="10"/>
    </row>
    <row r="157" ht="21.75">
      <c r="E157" s="10"/>
    </row>
    <row r="158" ht="21.75">
      <c r="E158" s="10"/>
    </row>
    <row r="159" ht="21.75">
      <c r="E159" s="10"/>
    </row>
    <row r="160" ht="21.75">
      <c r="E160" s="10"/>
    </row>
    <row r="161" ht="21.75">
      <c r="E161" s="10"/>
    </row>
    <row r="162" ht="21.75">
      <c r="E162" s="10"/>
    </row>
    <row r="163" ht="21.75">
      <c r="E163" s="10"/>
    </row>
    <row r="164" ht="21.75">
      <c r="E164" s="10"/>
    </row>
    <row r="165" ht="21.75">
      <c r="E165" s="10"/>
    </row>
    <row r="166" ht="21.75">
      <c r="E166" s="10"/>
    </row>
    <row r="167" ht="21.75">
      <c r="E167" s="10"/>
    </row>
    <row r="168" ht="21.75">
      <c r="E168" s="10"/>
    </row>
    <row r="169" ht="21.75">
      <c r="E169" s="10"/>
    </row>
    <row r="170" ht="21.75">
      <c r="E170" s="10"/>
    </row>
    <row r="171" ht="21.75">
      <c r="E171" s="10"/>
    </row>
    <row r="172" ht="21.75">
      <c r="E172" s="10"/>
    </row>
    <row r="173" ht="21.75">
      <c r="E173" s="10"/>
    </row>
    <row r="174" ht="21.75">
      <c r="E174" s="10"/>
    </row>
    <row r="175" ht="21.75">
      <c r="E175" s="10"/>
    </row>
    <row r="176" ht="21.75">
      <c r="E176" s="10"/>
    </row>
    <row r="177" ht="21.75">
      <c r="E177" s="10"/>
    </row>
    <row r="178" ht="21.75">
      <c r="E178" s="10"/>
    </row>
    <row r="179" ht="21.75">
      <c r="E179" s="10"/>
    </row>
    <row r="180" ht="21.75">
      <c r="E180" s="10"/>
    </row>
    <row r="181" ht="21.75">
      <c r="E181" s="10"/>
    </row>
    <row r="182" ht="21.75">
      <c r="E182" s="10"/>
    </row>
    <row r="183" ht="21.75">
      <c r="E183" s="10"/>
    </row>
    <row r="184" ht="21.75">
      <c r="E184" s="10"/>
    </row>
    <row r="185" ht="21.75">
      <c r="E185" s="10"/>
    </row>
    <row r="186" ht="21.75">
      <c r="E186" s="10"/>
    </row>
    <row r="187" ht="21.75">
      <c r="E187" s="10"/>
    </row>
    <row r="188" ht="21.75">
      <c r="E188" s="10"/>
    </row>
    <row r="189" ht="21.75">
      <c r="E189" s="10"/>
    </row>
    <row r="190" ht="21.75">
      <c r="E190" s="10"/>
    </row>
    <row r="191" ht="21.75">
      <c r="E191" s="10"/>
    </row>
    <row r="192" ht="21.75">
      <c r="E192" s="10"/>
    </row>
    <row r="193" ht="21.75">
      <c r="E193" s="10"/>
    </row>
    <row r="194" ht="21.75">
      <c r="E194" s="10"/>
    </row>
    <row r="195" ht="21.75">
      <c r="E195" s="10"/>
    </row>
    <row r="196" ht="21.75">
      <c r="E196" s="10"/>
    </row>
    <row r="197" ht="21.75">
      <c r="E197" s="10"/>
    </row>
    <row r="198" ht="21.75">
      <c r="E198" s="10"/>
    </row>
    <row r="199" ht="21.75">
      <c r="E199" s="10"/>
    </row>
    <row r="200" ht="21.75">
      <c r="E200" s="10"/>
    </row>
    <row r="201" ht="21.75">
      <c r="E201" s="10"/>
    </row>
    <row r="202" ht="21.75">
      <c r="E202" s="10"/>
    </row>
    <row r="203" ht="21.75">
      <c r="E203" s="10"/>
    </row>
    <row r="204" ht="21.75">
      <c r="E204" s="10"/>
    </row>
    <row r="205" ht="21.75">
      <c r="E205" s="10"/>
    </row>
    <row r="206" ht="21.75">
      <c r="E206" s="10"/>
    </row>
    <row r="207" ht="21.75">
      <c r="E207" s="10"/>
    </row>
    <row r="208" ht="21.75">
      <c r="E208" s="10"/>
    </row>
    <row r="209" ht="21.75">
      <c r="E209" s="10"/>
    </row>
    <row r="210" ht="21.75">
      <c r="E210" s="10"/>
    </row>
    <row r="211" ht="21.75">
      <c r="E211" s="10"/>
    </row>
    <row r="212" ht="21.75">
      <c r="E212" s="10"/>
    </row>
    <row r="213" ht="21.75">
      <c r="E213" s="10"/>
    </row>
    <row r="214" ht="21.75">
      <c r="E214" s="10"/>
    </row>
    <row r="215" ht="21.75">
      <c r="E215" s="10"/>
    </row>
    <row r="216" ht="21.75">
      <c r="E216" s="10"/>
    </row>
    <row r="217" ht="21.75">
      <c r="E217" s="10"/>
    </row>
    <row r="218" ht="21.75">
      <c r="E218" s="10"/>
    </row>
    <row r="219" ht="21.75">
      <c r="E219" s="10"/>
    </row>
    <row r="220" ht="21.75">
      <c r="E220" s="10"/>
    </row>
    <row r="221" ht="21.75">
      <c r="E221" s="10"/>
    </row>
    <row r="222" ht="21.75">
      <c r="E222" s="10"/>
    </row>
    <row r="223" ht="21.75">
      <c r="E223" s="10"/>
    </row>
    <row r="224" ht="21.75">
      <c r="E224" s="10"/>
    </row>
    <row r="225" ht="21.75">
      <c r="E225" s="10"/>
    </row>
    <row r="226" ht="21.75">
      <c r="E226" s="10"/>
    </row>
    <row r="227" ht="21.75">
      <c r="E227" s="10"/>
    </row>
    <row r="228" ht="21.75">
      <c r="E228" s="10"/>
    </row>
    <row r="229" ht="21.75">
      <c r="E229" s="10"/>
    </row>
    <row r="230" ht="21.75">
      <c r="E230" s="10"/>
    </row>
    <row r="231" ht="21.75">
      <c r="E231" s="10"/>
    </row>
    <row r="232" ht="21.75">
      <c r="E232" s="10"/>
    </row>
    <row r="233" ht="21.75">
      <c r="E233" s="10"/>
    </row>
    <row r="234" ht="21.75">
      <c r="E234" s="10"/>
    </row>
    <row r="235" ht="21.75">
      <c r="E235" s="10"/>
    </row>
    <row r="236" ht="21.75">
      <c r="E236" s="10"/>
    </row>
    <row r="237" ht="21.75">
      <c r="E237" s="10"/>
    </row>
    <row r="238" ht="21.75">
      <c r="E238" s="10"/>
    </row>
    <row r="239" ht="21.75">
      <c r="E239" s="10"/>
    </row>
    <row r="240" ht="21.75">
      <c r="E240" s="10"/>
    </row>
    <row r="241" ht="21.75">
      <c r="E241" s="10"/>
    </row>
    <row r="242" ht="21.75">
      <c r="E242" s="10"/>
    </row>
    <row r="243" ht="21.75">
      <c r="E243" s="10"/>
    </row>
    <row r="244" ht="21.75">
      <c r="E244" s="10"/>
    </row>
    <row r="245" ht="21.75">
      <c r="E245" s="10"/>
    </row>
    <row r="246" ht="21.75">
      <c r="E246" s="10"/>
    </row>
    <row r="247" ht="21.75">
      <c r="E247" s="10"/>
    </row>
    <row r="248" ht="21.75">
      <c r="E248" s="10"/>
    </row>
    <row r="249" ht="21.75">
      <c r="E249" s="10"/>
    </row>
    <row r="250" ht="21.75">
      <c r="E250" s="10"/>
    </row>
    <row r="251" ht="21.75">
      <c r="E251" s="10"/>
    </row>
    <row r="252" ht="21.75">
      <c r="E252" s="10"/>
    </row>
    <row r="253" ht="21.75">
      <c r="E253" s="10"/>
    </row>
    <row r="254" ht="21.75">
      <c r="E254" s="10"/>
    </row>
    <row r="255" ht="21.75">
      <c r="E255" s="10"/>
    </row>
    <row r="256" ht="21.75">
      <c r="E256" s="10"/>
    </row>
    <row r="257" ht="21.75">
      <c r="E257" s="10"/>
    </row>
    <row r="258" ht="21.75">
      <c r="E258" s="10"/>
    </row>
    <row r="259" ht="21.75">
      <c r="E259" s="10"/>
    </row>
    <row r="260" ht="21.75">
      <c r="E260" s="10"/>
    </row>
    <row r="261" ht="21.75">
      <c r="E261" s="10"/>
    </row>
    <row r="262" ht="21.75">
      <c r="E262" s="10"/>
    </row>
    <row r="263" ht="21.75">
      <c r="E263" s="10"/>
    </row>
    <row r="264" ht="21.75">
      <c r="E264" s="10"/>
    </row>
    <row r="265" ht="21.75">
      <c r="E265" s="10"/>
    </row>
    <row r="266" ht="21.75">
      <c r="E266" s="10"/>
    </row>
    <row r="267" ht="21.75">
      <c r="E267" s="10"/>
    </row>
    <row r="268" ht="21.75">
      <c r="E268" s="10"/>
    </row>
    <row r="269" ht="21.75">
      <c r="E269" s="10"/>
    </row>
    <row r="270" ht="21.75">
      <c r="E270" s="10"/>
    </row>
    <row r="271" ht="21.75">
      <c r="E271" s="10"/>
    </row>
    <row r="272" ht="21.75">
      <c r="E272" s="10"/>
    </row>
    <row r="273" ht="21.75">
      <c r="E273" s="10"/>
    </row>
    <row r="274" ht="21.75">
      <c r="E274" s="10"/>
    </row>
    <row r="275" ht="21.75">
      <c r="E275" s="10"/>
    </row>
    <row r="276" ht="21.75">
      <c r="E276" s="10"/>
    </row>
    <row r="277" ht="21.75">
      <c r="E277" s="10"/>
    </row>
    <row r="278" ht="21.75">
      <c r="E278" s="10"/>
    </row>
    <row r="279" ht="21.75">
      <c r="E279" s="10"/>
    </row>
    <row r="280" ht="21.75">
      <c r="E280" s="10"/>
    </row>
    <row r="281" ht="21.75">
      <c r="E281" s="10"/>
    </row>
    <row r="282" ht="21.75">
      <c r="E282" s="10"/>
    </row>
  </sheetData>
  <sheetProtection/>
  <mergeCells count="23">
    <mergeCell ref="E82:F82"/>
    <mergeCell ref="A79:B79"/>
    <mergeCell ref="C79:D79"/>
    <mergeCell ref="E79:F79"/>
    <mergeCell ref="A82:B82"/>
    <mergeCell ref="C81:D81"/>
    <mergeCell ref="C82:D82"/>
    <mergeCell ref="A81:B81"/>
    <mergeCell ref="E81:F81"/>
    <mergeCell ref="A3:F3"/>
    <mergeCell ref="A41:B41"/>
    <mergeCell ref="C41:D43"/>
    <mergeCell ref="E41:E43"/>
    <mergeCell ref="C5:D7"/>
    <mergeCell ref="A5:B5"/>
    <mergeCell ref="E5:E7"/>
    <mergeCell ref="A40:F40"/>
    <mergeCell ref="C73:E73"/>
    <mergeCell ref="C78:E78"/>
    <mergeCell ref="C74:E74"/>
    <mergeCell ref="C75:E75"/>
    <mergeCell ref="C76:E76"/>
    <mergeCell ref="C77:E77"/>
  </mergeCells>
  <printOptions/>
  <pageMargins left="1.22" right="0.24" top="0.25" bottom="0.22" header="0.2" footer="0.18"/>
  <pageSetup horizontalDpi="300" verticalDpi="300" orientation="portrait" paperSize="9" scale="86" r:id="rId1"/>
  <rowBreaks count="1" manualBreakCount="1">
    <brk id="3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D8" sqref="D8:E8"/>
    </sheetView>
  </sheetViews>
  <sheetFormatPr defaultColWidth="9.140625" defaultRowHeight="12.75"/>
  <sheetData>
    <row r="1" spans="1:11" ht="24" thickBot="1">
      <c r="A1" s="202" t="s">
        <v>0</v>
      </c>
      <c r="B1" s="203"/>
      <c r="C1" s="203"/>
      <c r="D1" s="203"/>
      <c r="E1" s="203"/>
      <c r="F1" s="204"/>
      <c r="G1" s="205" t="s">
        <v>193</v>
      </c>
      <c r="H1" s="206"/>
      <c r="I1" s="206"/>
      <c r="J1" s="206"/>
      <c r="K1" s="207"/>
    </row>
    <row r="2" spans="1:11" ht="24" thickBot="1">
      <c r="A2" s="208" t="s">
        <v>194</v>
      </c>
      <c r="B2" s="209"/>
      <c r="C2" s="209"/>
      <c r="D2" s="209"/>
      <c r="E2" s="209"/>
      <c r="F2" s="210"/>
      <c r="G2" s="211" t="s">
        <v>195</v>
      </c>
      <c r="H2" s="212"/>
      <c r="I2" s="212"/>
      <c r="J2" s="212"/>
      <c r="K2" s="213"/>
    </row>
    <row r="3" spans="1:11" ht="23.25">
      <c r="A3" s="117" t="s">
        <v>236</v>
      </c>
      <c r="B3" s="23"/>
      <c r="C3" s="23"/>
      <c r="D3" s="23"/>
      <c r="E3" s="23"/>
      <c r="F3" s="23"/>
      <c r="G3" s="23"/>
      <c r="H3" s="101"/>
      <c r="I3" s="214">
        <v>28420496.2</v>
      </c>
      <c r="J3" s="215"/>
      <c r="K3" s="216"/>
    </row>
    <row r="4" spans="1:11" ht="23.25">
      <c r="A4" s="118" t="s">
        <v>231</v>
      </c>
      <c r="B4" s="23"/>
      <c r="C4" s="23"/>
      <c r="D4" s="23"/>
      <c r="E4" s="23"/>
      <c r="F4" s="23"/>
      <c r="G4" s="23"/>
      <c r="H4" s="101"/>
      <c r="I4" s="173"/>
      <c r="J4" s="174"/>
      <c r="K4" s="175"/>
    </row>
    <row r="5" spans="1:11" ht="23.25">
      <c r="A5" s="100"/>
      <c r="B5" s="200" t="s">
        <v>196</v>
      </c>
      <c r="C5" s="200"/>
      <c r="D5" s="23"/>
      <c r="E5" s="200" t="s">
        <v>197</v>
      </c>
      <c r="F5" s="200"/>
      <c r="G5" s="201" t="s">
        <v>198</v>
      </c>
      <c r="H5" s="175"/>
      <c r="I5" s="173"/>
      <c r="J5" s="174"/>
      <c r="K5" s="175"/>
    </row>
    <row r="6" spans="1:11" ht="23.25">
      <c r="A6" s="100"/>
      <c r="B6" s="176" t="s">
        <v>181</v>
      </c>
      <c r="C6" s="177"/>
      <c r="D6" s="23"/>
      <c r="E6" s="178" t="s">
        <v>181</v>
      </c>
      <c r="F6" s="178"/>
      <c r="G6" s="179" t="s">
        <v>181</v>
      </c>
      <c r="H6" s="180"/>
      <c r="I6" s="195" t="s">
        <v>181</v>
      </c>
      <c r="J6" s="196"/>
      <c r="K6" s="197"/>
    </row>
    <row r="7" spans="1:11" ht="23.25">
      <c r="A7" s="198" t="s">
        <v>232</v>
      </c>
      <c r="B7" s="199"/>
      <c r="C7" s="199"/>
      <c r="D7" s="199"/>
      <c r="E7" s="199"/>
      <c r="F7" s="23"/>
      <c r="G7" s="23"/>
      <c r="H7" s="101"/>
      <c r="I7" s="173"/>
      <c r="J7" s="174"/>
      <c r="K7" s="175"/>
    </row>
    <row r="8" spans="1:11" ht="23.25">
      <c r="A8" s="173" t="s">
        <v>199</v>
      </c>
      <c r="B8" s="177"/>
      <c r="C8" s="23"/>
      <c r="D8" s="177" t="s">
        <v>200</v>
      </c>
      <c r="E8" s="177"/>
      <c r="F8" s="23"/>
      <c r="G8" s="177" t="s">
        <v>198</v>
      </c>
      <c r="H8" s="175"/>
      <c r="I8" s="173"/>
      <c r="J8" s="174"/>
      <c r="K8" s="175"/>
    </row>
    <row r="9" spans="1:11" ht="23.25">
      <c r="A9" s="181">
        <v>239017</v>
      </c>
      <c r="B9" s="174"/>
      <c r="C9" s="23"/>
      <c r="D9" s="183" t="s">
        <v>241</v>
      </c>
      <c r="E9" s="177"/>
      <c r="F9" s="23"/>
      <c r="G9" s="184">
        <v>3000</v>
      </c>
      <c r="H9" s="180"/>
      <c r="I9" s="194">
        <f>SUM(G9:H17)</f>
        <v>151808.51</v>
      </c>
      <c r="J9" s="174"/>
      <c r="K9" s="175"/>
    </row>
    <row r="10" spans="1:11" ht="23.25">
      <c r="A10" s="181">
        <v>239017</v>
      </c>
      <c r="B10" s="174"/>
      <c r="C10" s="23"/>
      <c r="D10" s="183" t="s">
        <v>242</v>
      </c>
      <c r="E10" s="177"/>
      <c r="F10" s="23"/>
      <c r="G10" s="184">
        <v>3655.51</v>
      </c>
      <c r="H10" s="180"/>
      <c r="I10" s="173"/>
      <c r="J10" s="174"/>
      <c r="K10" s="175"/>
    </row>
    <row r="11" spans="1:11" ht="23.25">
      <c r="A11" s="181">
        <v>239021</v>
      </c>
      <c r="B11" s="174"/>
      <c r="C11" s="23"/>
      <c r="D11" s="183" t="s">
        <v>243</v>
      </c>
      <c r="E11" s="177"/>
      <c r="F11" s="23"/>
      <c r="G11" s="184">
        <v>143253</v>
      </c>
      <c r="H11" s="180"/>
      <c r="I11" s="173"/>
      <c r="J11" s="174"/>
      <c r="K11" s="175"/>
    </row>
    <row r="12" spans="1:11" ht="23.25">
      <c r="A12" s="181">
        <v>239021</v>
      </c>
      <c r="B12" s="174"/>
      <c r="C12" s="23"/>
      <c r="D12" s="183" t="s">
        <v>244</v>
      </c>
      <c r="E12" s="177"/>
      <c r="F12" s="23"/>
      <c r="G12" s="184">
        <v>1900</v>
      </c>
      <c r="H12" s="180"/>
      <c r="I12" s="173"/>
      <c r="J12" s="174"/>
      <c r="K12" s="175"/>
    </row>
    <row r="13" spans="1:11" ht="23.25">
      <c r="A13" s="181"/>
      <c r="B13" s="174"/>
      <c r="C13" s="23"/>
      <c r="D13" s="183"/>
      <c r="E13" s="177"/>
      <c r="F13" s="23"/>
      <c r="G13" s="184"/>
      <c r="H13" s="180"/>
      <c r="I13" s="119"/>
      <c r="J13" s="120"/>
      <c r="K13" s="121"/>
    </row>
    <row r="14" spans="1:11" ht="23.25">
      <c r="A14" s="181"/>
      <c r="B14" s="174"/>
      <c r="C14" s="23"/>
      <c r="D14" s="183"/>
      <c r="E14" s="177"/>
      <c r="F14" s="23"/>
      <c r="G14" s="184"/>
      <c r="H14" s="180"/>
      <c r="I14" s="119"/>
      <c r="J14" s="120"/>
      <c r="K14" s="121"/>
    </row>
    <row r="15" spans="1:11" ht="23.25">
      <c r="A15" s="181"/>
      <c r="B15" s="174"/>
      <c r="C15" s="23"/>
      <c r="D15" s="183"/>
      <c r="E15" s="177"/>
      <c r="F15" s="23"/>
      <c r="G15" s="184"/>
      <c r="H15" s="180"/>
      <c r="I15" s="119"/>
      <c r="J15" s="120"/>
      <c r="K15" s="121"/>
    </row>
    <row r="16" spans="1:11" ht="23.25">
      <c r="A16" s="181"/>
      <c r="B16" s="174"/>
      <c r="C16" s="23"/>
      <c r="D16" s="183"/>
      <c r="E16" s="177"/>
      <c r="F16" s="23"/>
      <c r="G16" s="184"/>
      <c r="H16" s="180"/>
      <c r="I16" s="119"/>
      <c r="J16" s="120"/>
      <c r="K16" s="121"/>
    </row>
    <row r="17" spans="1:11" ht="23.25">
      <c r="A17" s="181"/>
      <c r="B17" s="174"/>
      <c r="C17" s="23"/>
      <c r="D17" s="183"/>
      <c r="E17" s="177"/>
      <c r="F17" s="23"/>
      <c r="G17" s="184"/>
      <c r="H17" s="180"/>
      <c r="I17" s="119"/>
      <c r="J17" s="120"/>
      <c r="K17" s="121"/>
    </row>
    <row r="18" spans="1:11" ht="23.25">
      <c r="A18" s="181"/>
      <c r="B18" s="182"/>
      <c r="C18" s="23"/>
      <c r="D18" s="183"/>
      <c r="E18" s="177"/>
      <c r="F18" s="23"/>
      <c r="G18" s="184"/>
      <c r="H18" s="180"/>
      <c r="I18" s="119"/>
      <c r="J18" s="120"/>
      <c r="K18" s="121"/>
    </row>
    <row r="19" spans="1:11" ht="23.25">
      <c r="A19" s="130"/>
      <c r="B19" s="131"/>
      <c r="C19" s="23"/>
      <c r="D19" s="132"/>
      <c r="E19" s="116"/>
      <c r="F19" s="23"/>
      <c r="G19" s="133"/>
      <c r="H19" s="134"/>
      <c r="I19" s="119"/>
      <c r="J19" s="120"/>
      <c r="K19" s="121"/>
    </row>
    <row r="20" spans="1:11" ht="23.25">
      <c r="A20" s="130"/>
      <c r="B20" s="131"/>
      <c r="C20" s="23"/>
      <c r="D20" s="132"/>
      <c r="E20" s="116"/>
      <c r="F20" s="23"/>
      <c r="G20" s="133"/>
      <c r="H20" s="134"/>
      <c r="I20" s="119"/>
      <c r="J20" s="120"/>
      <c r="K20" s="121"/>
    </row>
    <row r="21" spans="1:11" ht="23.25">
      <c r="A21" s="130"/>
      <c r="B21" s="131"/>
      <c r="C21" s="23"/>
      <c r="D21" s="132"/>
      <c r="E21" s="116"/>
      <c r="F21" s="23"/>
      <c r="G21" s="133"/>
      <c r="H21" s="134"/>
      <c r="I21" s="119"/>
      <c r="J21" s="120"/>
      <c r="K21" s="121"/>
    </row>
    <row r="22" spans="1:11" ht="23.25">
      <c r="A22" s="181"/>
      <c r="B22" s="182"/>
      <c r="C22" s="23"/>
      <c r="D22" s="183"/>
      <c r="E22" s="183"/>
      <c r="F22" s="23"/>
      <c r="G22" s="184"/>
      <c r="H22" s="180"/>
      <c r="I22" s="173"/>
      <c r="J22" s="174"/>
      <c r="K22" s="175"/>
    </row>
    <row r="23" spans="1:11" ht="23.25">
      <c r="A23" s="181"/>
      <c r="B23" s="182"/>
      <c r="C23" s="23"/>
      <c r="D23" s="183"/>
      <c r="E23" s="183"/>
      <c r="F23" s="23"/>
      <c r="G23" s="184"/>
      <c r="H23" s="180"/>
      <c r="I23" s="119"/>
      <c r="J23" s="120"/>
      <c r="K23" s="121"/>
    </row>
    <row r="24" spans="1:11" ht="23.25">
      <c r="A24" s="122" t="s">
        <v>233</v>
      </c>
      <c r="B24" s="23"/>
      <c r="C24" s="23"/>
      <c r="D24" s="23"/>
      <c r="E24" s="23"/>
      <c r="F24" s="23"/>
      <c r="G24" s="23"/>
      <c r="H24" s="101"/>
      <c r="I24" s="173"/>
      <c r="J24" s="174"/>
      <c r="K24" s="175"/>
    </row>
    <row r="25" spans="1:11" ht="23.25">
      <c r="A25" s="118" t="s">
        <v>201</v>
      </c>
      <c r="B25" s="23"/>
      <c r="C25" s="23"/>
      <c r="D25" s="23"/>
      <c r="E25" s="23"/>
      <c r="F25" s="23"/>
      <c r="G25" s="23"/>
      <c r="H25" s="101"/>
      <c r="I25" s="173"/>
      <c r="J25" s="174"/>
      <c r="K25" s="175"/>
    </row>
    <row r="26" spans="1:11" ht="23.25">
      <c r="A26" s="118"/>
      <c r="B26" s="23"/>
      <c r="C26" s="23"/>
      <c r="D26" s="23"/>
      <c r="E26" s="23"/>
      <c r="F26" s="23"/>
      <c r="G26" s="23"/>
      <c r="H26" s="101"/>
      <c r="I26" s="135"/>
      <c r="J26" s="136"/>
      <c r="K26" s="137"/>
    </row>
    <row r="27" spans="1:11" ht="24" thickBot="1">
      <c r="A27" s="123" t="s">
        <v>237</v>
      </c>
      <c r="B27" s="124"/>
      <c r="C27" s="124"/>
      <c r="D27" s="124"/>
      <c r="E27" s="124"/>
      <c r="F27" s="124"/>
      <c r="G27" s="124"/>
      <c r="H27" s="125"/>
      <c r="I27" s="191">
        <f>I3-I9</f>
        <v>28268687.689999998</v>
      </c>
      <c r="J27" s="192"/>
      <c r="K27" s="193"/>
    </row>
    <row r="28" spans="1:11" ht="23.25">
      <c r="A28" s="126" t="s">
        <v>202</v>
      </c>
      <c r="B28" s="127"/>
      <c r="C28" s="127"/>
      <c r="D28" s="127"/>
      <c r="E28" s="127"/>
      <c r="F28" s="128"/>
      <c r="G28" s="126" t="s">
        <v>203</v>
      </c>
      <c r="H28" s="127"/>
      <c r="I28" s="127"/>
      <c r="J28" s="127"/>
      <c r="K28" s="128"/>
    </row>
    <row r="29" spans="1:11" ht="23.25">
      <c r="A29" s="118"/>
      <c r="B29" s="93"/>
      <c r="C29" s="93"/>
      <c r="D29" s="93"/>
      <c r="E29" s="93"/>
      <c r="F29" s="101"/>
      <c r="G29" s="118"/>
      <c r="H29" s="93"/>
      <c r="I29" s="93"/>
      <c r="J29" s="93"/>
      <c r="K29" s="101"/>
    </row>
    <row r="30" spans="1:11" ht="23.25">
      <c r="A30" s="173" t="s">
        <v>204</v>
      </c>
      <c r="B30" s="174"/>
      <c r="C30" s="174"/>
      <c r="D30" s="174"/>
      <c r="E30" s="174"/>
      <c r="F30" s="175"/>
      <c r="G30" s="173" t="s">
        <v>205</v>
      </c>
      <c r="H30" s="174"/>
      <c r="I30" s="174"/>
      <c r="J30" s="174"/>
      <c r="K30" s="175"/>
    </row>
    <row r="31" spans="1:11" ht="23.25">
      <c r="A31" s="173" t="s">
        <v>206</v>
      </c>
      <c r="B31" s="174"/>
      <c r="C31" s="174"/>
      <c r="D31" s="174"/>
      <c r="E31" s="174"/>
      <c r="F31" s="175"/>
      <c r="G31" s="173" t="s">
        <v>53</v>
      </c>
      <c r="H31" s="174"/>
      <c r="I31" s="174"/>
      <c r="J31" s="174"/>
      <c r="K31" s="175"/>
    </row>
    <row r="32" spans="1:11" ht="24" thickBot="1">
      <c r="A32" s="185">
        <v>239021</v>
      </c>
      <c r="B32" s="186"/>
      <c r="C32" s="186"/>
      <c r="D32" s="186"/>
      <c r="E32" s="186"/>
      <c r="F32" s="187"/>
      <c r="G32" s="188">
        <v>239021</v>
      </c>
      <c r="H32" s="189"/>
      <c r="I32" s="189"/>
      <c r="J32" s="189"/>
      <c r="K32" s="190"/>
    </row>
    <row r="33" spans="1:11" ht="20.2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</row>
    <row r="34" spans="1:11" ht="18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</row>
  </sheetData>
  <sheetProtection/>
  <mergeCells count="70">
    <mergeCell ref="I4:K4"/>
    <mergeCell ref="A1:F1"/>
    <mergeCell ref="G1:K1"/>
    <mergeCell ref="A2:F2"/>
    <mergeCell ref="G2:K2"/>
    <mergeCell ref="I3:K3"/>
    <mergeCell ref="A8:B8"/>
    <mergeCell ref="D8:E8"/>
    <mergeCell ref="G8:H8"/>
    <mergeCell ref="I8:K8"/>
    <mergeCell ref="I5:K5"/>
    <mergeCell ref="I6:K6"/>
    <mergeCell ref="A7:E7"/>
    <mergeCell ref="I7:K7"/>
    <mergeCell ref="B5:C5"/>
    <mergeCell ref="E5:F5"/>
    <mergeCell ref="G5:H5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A14:B14"/>
    <mergeCell ref="D14:E14"/>
    <mergeCell ref="G14:H14"/>
    <mergeCell ref="A22:B22"/>
    <mergeCell ref="D22:E22"/>
    <mergeCell ref="G22:H22"/>
    <mergeCell ref="A16:B16"/>
    <mergeCell ref="D16:E16"/>
    <mergeCell ref="G16:H16"/>
    <mergeCell ref="A32:F32"/>
    <mergeCell ref="G32:K32"/>
    <mergeCell ref="I24:K24"/>
    <mergeCell ref="I25:K25"/>
    <mergeCell ref="I27:K27"/>
    <mergeCell ref="A30:F30"/>
    <mergeCell ref="G30:K30"/>
    <mergeCell ref="A31:F31"/>
    <mergeCell ref="G31:K31"/>
    <mergeCell ref="I22:K22"/>
    <mergeCell ref="B6:C6"/>
    <mergeCell ref="E6:F6"/>
    <mergeCell ref="G6:H6"/>
    <mergeCell ref="A23:B23"/>
    <mergeCell ref="D23:E23"/>
    <mergeCell ref="G23:H23"/>
    <mergeCell ref="A17:B17"/>
    <mergeCell ref="D17:E17"/>
    <mergeCell ref="G17:H17"/>
    <mergeCell ref="A18:B18"/>
    <mergeCell ref="D18:E18"/>
    <mergeCell ref="G18:H18"/>
    <mergeCell ref="A15:B15"/>
    <mergeCell ref="D15:E15"/>
    <mergeCell ref="G15:H15"/>
  </mergeCells>
  <printOptions/>
  <pageMargins left="0.17" right="0.18" top="0.46" bottom="0.26" header="0.53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2.421875" style="23" customWidth="1"/>
    <col min="2" max="2" width="30.28125" style="23" customWidth="1"/>
    <col min="3" max="3" width="14.8515625" style="23" customWidth="1"/>
    <col min="4" max="4" width="15.57421875" style="23" customWidth="1"/>
    <col min="5" max="5" width="15.7109375" style="23" customWidth="1"/>
    <col min="6" max="6" width="15.57421875" style="23" customWidth="1"/>
    <col min="7" max="16384" width="9.140625" style="23" customWidth="1"/>
  </cols>
  <sheetData>
    <row r="1" spans="1:6" ht="23.25">
      <c r="A1" s="219" t="s">
        <v>0</v>
      </c>
      <c r="B1" s="219"/>
      <c r="C1" s="219"/>
      <c r="D1" s="219"/>
      <c r="E1" s="219"/>
      <c r="F1" s="219"/>
    </row>
    <row r="2" spans="1:6" ht="23.25">
      <c r="A2" s="219" t="s">
        <v>81</v>
      </c>
      <c r="B2" s="219"/>
      <c r="C2" s="219"/>
      <c r="D2" s="219"/>
      <c r="E2" s="219"/>
      <c r="F2" s="219"/>
    </row>
    <row r="3" spans="1:6" ht="23.25">
      <c r="A3" s="219" t="s">
        <v>82</v>
      </c>
      <c r="B3" s="219"/>
      <c r="C3" s="219"/>
      <c r="D3" s="219"/>
      <c r="E3" s="219"/>
      <c r="F3" s="219"/>
    </row>
    <row r="4" spans="1:6" ht="23.25">
      <c r="A4" s="219" t="s">
        <v>238</v>
      </c>
      <c r="B4" s="219"/>
      <c r="C4" s="219"/>
      <c r="D4" s="219"/>
      <c r="E4" s="219"/>
      <c r="F4" s="219"/>
    </row>
    <row r="6" ht="24" thickBot="1">
      <c r="A6" s="24" t="s">
        <v>83</v>
      </c>
    </row>
    <row r="7" spans="1:6" ht="39" customHeight="1" thickBot="1">
      <c r="A7" s="217" t="s">
        <v>7</v>
      </c>
      <c r="B7" s="218"/>
      <c r="C7" s="102" t="s">
        <v>11</v>
      </c>
      <c r="D7" s="102" t="s">
        <v>84</v>
      </c>
      <c r="E7" s="102" t="s">
        <v>85</v>
      </c>
      <c r="F7" s="98" t="s">
        <v>86</v>
      </c>
    </row>
    <row r="8" spans="1:6" ht="33.75" customHeight="1">
      <c r="A8" s="100"/>
      <c r="B8" s="101" t="s">
        <v>87</v>
      </c>
      <c r="C8" s="96">
        <v>2888.56</v>
      </c>
      <c r="D8" s="96">
        <v>16154.84</v>
      </c>
      <c r="E8" s="110">
        <v>2888.56</v>
      </c>
      <c r="F8" s="95">
        <f>C8+D8-E8</f>
        <v>16154.840000000002</v>
      </c>
    </row>
    <row r="9" spans="1:6" ht="23.25">
      <c r="A9" s="100"/>
      <c r="B9" s="101" t="s">
        <v>88</v>
      </c>
      <c r="C9" s="96">
        <v>166220</v>
      </c>
      <c r="D9" s="99">
        <v>14535</v>
      </c>
      <c r="E9" s="110">
        <v>0</v>
      </c>
      <c r="F9" s="96">
        <f aca="true" t="shared" si="0" ref="F9:F16">C9+D9-E9</f>
        <v>180755</v>
      </c>
    </row>
    <row r="10" spans="1:6" ht="23.25">
      <c r="A10" s="100"/>
      <c r="B10" s="101" t="s">
        <v>89</v>
      </c>
      <c r="C10" s="96">
        <v>16695.1</v>
      </c>
      <c r="D10" s="96">
        <v>1323.8</v>
      </c>
      <c r="E10" s="111">
        <v>0</v>
      </c>
      <c r="F10" s="96">
        <f t="shared" si="0"/>
        <v>18018.899999999998</v>
      </c>
    </row>
    <row r="11" spans="1:6" ht="23.25">
      <c r="A11" s="100"/>
      <c r="B11" s="101" t="s">
        <v>90</v>
      </c>
      <c r="C11" s="96">
        <v>20034.12</v>
      </c>
      <c r="D11" s="96">
        <v>1588.56</v>
      </c>
      <c r="E11" s="111">
        <v>0</v>
      </c>
      <c r="F11" s="96">
        <f t="shared" si="0"/>
        <v>21622.68</v>
      </c>
    </row>
    <row r="12" spans="1:6" ht="23.25">
      <c r="A12" s="100"/>
      <c r="B12" s="101" t="s">
        <v>91</v>
      </c>
      <c r="C12" s="96">
        <v>278906.87</v>
      </c>
      <c r="D12" s="99">
        <v>0</v>
      </c>
      <c r="E12" s="111">
        <v>0</v>
      </c>
      <c r="F12" s="96">
        <f t="shared" si="0"/>
        <v>278906.87</v>
      </c>
    </row>
    <row r="13" spans="1:6" ht="23.25">
      <c r="A13" s="100"/>
      <c r="B13" s="101" t="s">
        <v>92</v>
      </c>
      <c r="C13" s="96">
        <v>43.8</v>
      </c>
      <c r="D13" s="96">
        <v>12566</v>
      </c>
      <c r="E13" s="110">
        <v>12566</v>
      </c>
      <c r="F13" s="96">
        <f t="shared" si="0"/>
        <v>43.79999999999927</v>
      </c>
    </row>
    <row r="14" spans="1:6" ht="23.25">
      <c r="A14" s="100"/>
      <c r="B14" s="101"/>
      <c r="C14" s="96"/>
      <c r="D14" s="96"/>
      <c r="E14" s="110"/>
      <c r="F14" s="96">
        <f t="shared" si="0"/>
        <v>0</v>
      </c>
    </row>
    <row r="15" spans="1:6" ht="24" thickBot="1">
      <c r="A15" s="100"/>
      <c r="B15" s="101"/>
      <c r="C15" s="96"/>
      <c r="D15" s="96"/>
      <c r="E15" s="110"/>
      <c r="F15" s="97">
        <f t="shared" si="0"/>
        <v>0</v>
      </c>
    </row>
    <row r="16" spans="1:11" ht="24" thickBot="1">
      <c r="A16" s="208" t="s">
        <v>93</v>
      </c>
      <c r="B16" s="210"/>
      <c r="C16" s="94">
        <f>SUM(C8:C15)</f>
        <v>484788.45</v>
      </c>
      <c r="D16" s="94">
        <f>SUM(D8:D15)</f>
        <v>46168.2</v>
      </c>
      <c r="E16" s="94">
        <f>SUM(E8:E15)</f>
        <v>15454.56</v>
      </c>
      <c r="F16" s="144">
        <f t="shared" si="0"/>
        <v>515502.09</v>
      </c>
      <c r="K16" s="93"/>
    </row>
    <row r="20" spans="1:6" ht="23.25">
      <c r="A20" s="177" t="s">
        <v>191</v>
      </c>
      <c r="B20" s="177"/>
      <c r="C20" s="177" t="s">
        <v>192</v>
      </c>
      <c r="D20" s="177"/>
      <c r="E20" s="177" t="s">
        <v>96</v>
      </c>
      <c r="F20" s="177"/>
    </row>
    <row r="21" spans="1:6" ht="23.25">
      <c r="A21" s="177" t="s">
        <v>53</v>
      </c>
      <c r="B21" s="177"/>
      <c r="C21" s="177" t="s">
        <v>95</v>
      </c>
      <c r="D21" s="177"/>
      <c r="E21" s="177" t="s">
        <v>97</v>
      </c>
      <c r="F21" s="177"/>
    </row>
  </sheetData>
  <sheetProtection/>
  <mergeCells count="12">
    <mergeCell ref="A7:B7"/>
    <mergeCell ref="A16:B16"/>
    <mergeCell ref="A1:F1"/>
    <mergeCell ref="A2:F2"/>
    <mergeCell ref="A3:F3"/>
    <mergeCell ref="A4:F4"/>
    <mergeCell ref="A20:B20"/>
    <mergeCell ref="C20:D20"/>
    <mergeCell ref="E20:F20"/>
    <mergeCell ref="A21:B21"/>
    <mergeCell ref="C21:D21"/>
    <mergeCell ref="E21:F21"/>
  </mergeCells>
  <printOptions/>
  <pageMargins left="0.58" right="0.33" top="0.69" bottom="0.69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7">
      <selection activeCell="I18" sqref="I18"/>
    </sheetView>
  </sheetViews>
  <sheetFormatPr defaultColWidth="9.140625" defaultRowHeight="12.75"/>
  <cols>
    <col min="1" max="1" width="2.421875" style="23" customWidth="1"/>
    <col min="2" max="2" width="33.7109375" style="23" customWidth="1"/>
    <col min="3" max="3" width="13.7109375" style="23" customWidth="1"/>
    <col min="4" max="4" width="14.00390625" style="23" customWidth="1"/>
    <col min="5" max="5" width="14.28125" style="23" customWidth="1"/>
    <col min="6" max="6" width="15.57421875" style="23" customWidth="1"/>
    <col min="7" max="16384" width="9.140625" style="23" customWidth="1"/>
  </cols>
  <sheetData>
    <row r="1" spans="1:6" ht="23.25">
      <c r="A1" s="219" t="s">
        <v>0</v>
      </c>
      <c r="B1" s="219"/>
      <c r="C1" s="219"/>
      <c r="D1" s="219"/>
      <c r="E1" s="219"/>
      <c r="F1" s="219"/>
    </row>
    <row r="2" spans="1:6" ht="23.25">
      <c r="A2" s="219" t="s">
        <v>81</v>
      </c>
      <c r="B2" s="219"/>
      <c r="C2" s="219"/>
      <c r="D2" s="219"/>
      <c r="E2" s="219"/>
      <c r="F2" s="219"/>
    </row>
    <row r="3" spans="1:6" ht="23.25">
      <c r="A3" s="219" t="s">
        <v>227</v>
      </c>
      <c r="B3" s="219"/>
      <c r="C3" s="219"/>
      <c r="D3" s="219"/>
      <c r="E3" s="219"/>
      <c r="F3" s="219"/>
    </row>
    <row r="4" spans="1:6" ht="23.25">
      <c r="A4" s="219" t="s">
        <v>238</v>
      </c>
      <c r="B4" s="219"/>
      <c r="C4" s="219"/>
      <c r="D4" s="219"/>
      <c r="E4" s="219"/>
      <c r="F4" s="219"/>
    </row>
    <row r="6" ht="24" thickBot="1">
      <c r="A6" s="24" t="s">
        <v>94</v>
      </c>
    </row>
    <row r="7" spans="1:6" ht="39" customHeight="1" thickBot="1">
      <c r="A7" s="217" t="s">
        <v>7</v>
      </c>
      <c r="B7" s="218"/>
      <c r="C7" s="102" t="s">
        <v>11</v>
      </c>
      <c r="D7" s="102" t="s">
        <v>84</v>
      </c>
      <c r="E7" s="102" t="s">
        <v>85</v>
      </c>
      <c r="F7" s="102" t="s">
        <v>86</v>
      </c>
    </row>
    <row r="8" spans="1:6" ht="35.25" customHeight="1">
      <c r="A8" s="100"/>
      <c r="B8" s="101" t="s">
        <v>211</v>
      </c>
      <c r="C8" s="96">
        <v>1421000</v>
      </c>
      <c r="D8" s="96">
        <v>162500</v>
      </c>
      <c r="E8" s="96">
        <v>341000</v>
      </c>
      <c r="F8" s="96">
        <f>C8+D8-E8</f>
        <v>1242500</v>
      </c>
    </row>
    <row r="9" spans="1:6" ht="23.25">
      <c r="A9" s="100"/>
      <c r="B9" s="101" t="s">
        <v>212</v>
      </c>
      <c r="C9" s="96">
        <v>64500</v>
      </c>
      <c r="D9" s="96">
        <v>103500</v>
      </c>
      <c r="E9" s="96">
        <v>81000</v>
      </c>
      <c r="F9" s="96">
        <f>C9+D9-E9</f>
        <v>87000</v>
      </c>
    </row>
    <row r="10" spans="1:6" ht="23.25">
      <c r="A10" s="100"/>
      <c r="B10" s="101" t="s">
        <v>213</v>
      </c>
      <c r="C10" s="96">
        <v>4829</v>
      </c>
      <c r="D10" s="96">
        <v>0</v>
      </c>
      <c r="E10" s="96">
        <v>0</v>
      </c>
      <c r="F10" s="96">
        <f>C10+D10-E10</f>
        <v>4829</v>
      </c>
    </row>
    <row r="11" spans="1:6" ht="23.25">
      <c r="A11" s="100"/>
      <c r="B11" s="101" t="s">
        <v>219</v>
      </c>
      <c r="C11" s="96">
        <v>0</v>
      </c>
      <c r="D11" s="96">
        <v>71484</v>
      </c>
      <c r="E11" s="96">
        <v>69782</v>
      </c>
      <c r="F11" s="96">
        <f>C11+D11-E11</f>
        <v>1702</v>
      </c>
    </row>
    <row r="12" spans="1:6" ht="23.25">
      <c r="A12" s="100"/>
      <c r="B12" s="101" t="s">
        <v>228</v>
      </c>
      <c r="C12" s="96">
        <v>100</v>
      </c>
      <c r="D12" s="96">
        <v>0</v>
      </c>
      <c r="E12" s="96">
        <v>0</v>
      </c>
      <c r="F12" s="96">
        <f>C12+D12-E12</f>
        <v>100</v>
      </c>
    </row>
    <row r="13" spans="1:6" ht="23.25">
      <c r="A13" s="100"/>
      <c r="B13" s="101"/>
      <c r="C13" s="96"/>
      <c r="D13" s="96"/>
      <c r="E13" s="96"/>
      <c r="F13" s="96"/>
    </row>
    <row r="14" spans="1:6" ht="23.25">
      <c r="A14" s="100"/>
      <c r="B14" s="101"/>
      <c r="C14" s="96"/>
      <c r="D14" s="96"/>
      <c r="E14" s="96"/>
      <c r="F14" s="96"/>
    </row>
    <row r="15" spans="1:6" ht="23.25">
      <c r="A15" s="100"/>
      <c r="B15" s="101"/>
      <c r="C15" s="96"/>
      <c r="D15" s="96"/>
      <c r="E15" s="96"/>
      <c r="F15" s="96"/>
    </row>
    <row r="16" spans="1:6" ht="23.25">
      <c r="A16" s="100"/>
      <c r="B16" s="101"/>
      <c r="C16" s="96"/>
      <c r="D16" s="96"/>
      <c r="E16" s="96"/>
      <c r="F16" s="96"/>
    </row>
    <row r="17" spans="1:6" ht="23.25">
      <c r="A17" s="100"/>
      <c r="B17" s="101"/>
      <c r="C17" s="96"/>
      <c r="D17" s="96"/>
      <c r="E17" s="96"/>
      <c r="F17" s="96"/>
    </row>
    <row r="18" spans="1:6" ht="23.25">
      <c r="A18" s="100"/>
      <c r="B18" s="101"/>
      <c r="C18" s="96"/>
      <c r="D18" s="96"/>
      <c r="E18" s="96"/>
      <c r="F18" s="96"/>
    </row>
    <row r="19" spans="1:6" ht="23.25">
      <c r="A19" s="100"/>
      <c r="B19" s="101"/>
      <c r="C19" s="96"/>
      <c r="D19" s="96"/>
      <c r="E19" s="96"/>
      <c r="F19" s="96"/>
    </row>
    <row r="20" spans="1:6" ht="24" thickBot="1">
      <c r="A20" s="100"/>
      <c r="B20" s="101"/>
      <c r="C20" s="96"/>
      <c r="D20" s="96"/>
      <c r="E20" s="96"/>
      <c r="F20" s="96"/>
    </row>
    <row r="21" spans="1:6" ht="24" thickBot="1">
      <c r="A21" s="208" t="s">
        <v>93</v>
      </c>
      <c r="B21" s="210"/>
      <c r="C21" s="94">
        <f>SUM(C8:C20)</f>
        <v>1490429</v>
      </c>
      <c r="D21" s="94">
        <f>SUM(D8:D20)</f>
        <v>337484</v>
      </c>
      <c r="E21" s="94">
        <f>SUM(E8:E20)</f>
        <v>491782</v>
      </c>
      <c r="F21" s="94">
        <f>C21+D21-E21</f>
        <v>1336131</v>
      </c>
    </row>
    <row r="26" spans="1:6" ht="23.25">
      <c r="A26" s="177" t="s">
        <v>187</v>
      </c>
      <c r="B26" s="177"/>
      <c r="C26" s="177" t="s">
        <v>192</v>
      </c>
      <c r="D26" s="177"/>
      <c r="E26" s="177" t="s">
        <v>96</v>
      </c>
      <c r="F26" s="177"/>
    </row>
    <row r="27" spans="1:6" ht="23.25">
      <c r="A27" s="177" t="s">
        <v>53</v>
      </c>
      <c r="B27" s="177"/>
      <c r="C27" s="177" t="s">
        <v>95</v>
      </c>
      <c r="D27" s="177"/>
      <c r="E27" s="177" t="s">
        <v>97</v>
      </c>
      <c r="F27" s="177"/>
    </row>
  </sheetData>
  <sheetProtection/>
  <mergeCells count="12">
    <mergeCell ref="A21:B21"/>
    <mergeCell ref="A1:F1"/>
    <mergeCell ref="A2:F2"/>
    <mergeCell ref="A3:F3"/>
    <mergeCell ref="A4:F4"/>
    <mergeCell ref="A7:B7"/>
    <mergeCell ref="A26:B26"/>
    <mergeCell ref="A27:B27"/>
    <mergeCell ref="C26:D26"/>
    <mergeCell ref="C27:D27"/>
    <mergeCell ref="E26:F26"/>
    <mergeCell ref="E27:F27"/>
  </mergeCells>
  <printOptions/>
  <pageMargins left="0.63" right="0.3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M156"/>
  <sheetViews>
    <sheetView zoomScale="80" zoomScaleNormal="80" zoomScalePageLayoutView="0" workbookViewId="0" topLeftCell="A1">
      <pane ySplit="6" topLeftCell="A22" activePane="bottomLeft" state="frozen"/>
      <selection pane="topLeft" activeCell="A1" sqref="A1"/>
      <selection pane="bottomLeft" activeCell="G48" sqref="G48"/>
    </sheetView>
  </sheetViews>
  <sheetFormatPr defaultColWidth="9.140625" defaultRowHeight="12.75"/>
  <cols>
    <col min="1" max="1" width="14.7109375" style="27" customWidth="1"/>
    <col min="2" max="2" width="8.28125" style="27" customWidth="1"/>
    <col min="3" max="3" width="9.57421875" style="27" customWidth="1"/>
    <col min="4" max="4" width="8.00390625" style="27" bestFit="1" customWidth="1"/>
    <col min="5" max="6" width="7.57421875" style="27" customWidth="1"/>
    <col min="7" max="7" width="6.7109375" style="27" customWidth="1"/>
    <col min="8" max="8" width="6.28125" style="27" customWidth="1"/>
    <col min="9" max="11" width="7.57421875" style="27" customWidth="1"/>
    <col min="12" max="12" width="9.57421875" style="27" customWidth="1"/>
    <col min="13" max="14" width="7.57421875" style="27" customWidth="1"/>
    <col min="15" max="15" width="6.28125" style="27" customWidth="1"/>
    <col min="16" max="16" width="7.00390625" style="27" customWidth="1"/>
    <col min="17" max="17" width="6.8515625" style="27" customWidth="1"/>
    <col min="18" max="19" width="7.57421875" style="27" customWidth="1"/>
    <col min="20" max="20" width="6.7109375" style="27" customWidth="1"/>
    <col min="21" max="21" width="9.8515625" style="27" customWidth="1"/>
    <col min="22" max="16384" width="9.140625" style="27" customWidth="1"/>
  </cols>
  <sheetData>
    <row r="1" spans="1:21" ht="18.75">
      <c r="A1" s="229" t="s">
        <v>98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</row>
    <row r="2" spans="1:21" ht="18.75">
      <c r="A2" s="229" t="s">
        <v>99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8.75">
      <c r="A3" s="229" t="s">
        <v>245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5" spans="1:91" ht="14.25">
      <c r="A5" s="28" t="s">
        <v>100</v>
      </c>
      <c r="B5" s="32" t="s">
        <v>102</v>
      </c>
      <c r="C5" s="223" t="s">
        <v>104</v>
      </c>
      <c r="D5" s="224"/>
      <c r="E5" s="223" t="s">
        <v>105</v>
      </c>
      <c r="F5" s="225"/>
      <c r="G5" s="223" t="s">
        <v>108</v>
      </c>
      <c r="H5" s="224"/>
      <c r="I5" s="36" t="s">
        <v>111</v>
      </c>
      <c r="J5" s="223" t="s">
        <v>113</v>
      </c>
      <c r="K5" s="224"/>
      <c r="L5" s="223" t="s">
        <v>116</v>
      </c>
      <c r="M5" s="224"/>
      <c r="N5" s="225" t="s">
        <v>118</v>
      </c>
      <c r="O5" s="225"/>
      <c r="P5" s="223" t="s">
        <v>121</v>
      </c>
      <c r="Q5" s="225"/>
      <c r="R5" s="224"/>
      <c r="S5" s="36" t="s">
        <v>125</v>
      </c>
      <c r="T5" s="35" t="s">
        <v>127</v>
      </c>
      <c r="U5" s="226" t="s">
        <v>129</v>
      </c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0"/>
      <c r="CF5" s="30"/>
      <c r="CG5" s="30"/>
      <c r="CH5" s="30"/>
      <c r="CI5" s="30"/>
      <c r="CJ5" s="30"/>
      <c r="CK5" s="30"/>
      <c r="CL5" s="30"/>
      <c r="CM5" s="30"/>
    </row>
    <row r="6" spans="1:91" ht="14.25">
      <c r="A6" s="29" t="s">
        <v>101</v>
      </c>
      <c r="B6" s="33" t="s">
        <v>103</v>
      </c>
      <c r="C6" s="34" t="s">
        <v>214</v>
      </c>
      <c r="D6" s="37" t="s">
        <v>215</v>
      </c>
      <c r="E6" s="34" t="s">
        <v>106</v>
      </c>
      <c r="F6" s="34" t="s">
        <v>107</v>
      </c>
      <c r="G6" s="37" t="s">
        <v>109</v>
      </c>
      <c r="H6" s="35" t="s">
        <v>110</v>
      </c>
      <c r="I6" s="36" t="s">
        <v>112</v>
      </c>
      <c r="J6" s="34" t="s">
        <v>114</v>
      </c>
      <c r="K6" s="34" t="s">
        <v>115</v>
      </c>
      <c r="L6" s="37" t="s">
        <v>216</v>
      </c>
      <c r="M6" s="36" t="s">
        <v>117</v>
      </c>
      <c r="N6" s="37" t="s">
        <v>119</v>
      </c>
      <c r="O6" s="36" t="s">
        <v>120</v>
      </c>
      <c r="P6" s="37" t="s">
        <v>122</v>
      </c>
      <c r="Q6" s="36" t="s">
        <v>123</v>
      </c>
      <c r="R6" s="37" t="s">
        <v>124</v>
      </c>
      <c r="S6" s="37" t="s">
        <v>126</v>
      </c>
      <c r="T6" s="35" t="s">
        <v>128</v>
      </c>
      <c r="U6" s="227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0"/>
      <c r="CF6" s="30"/>
      <c r="CG6" s="30"/>
      <c r="CH6" s="30"/>
      <c r="CI6" s="30"/>
      <c r="CJ6" s="30"/>
      <c r="CK6" s="30"/>
      <c r="CL6" s="30"/>
      <c r="CM6" s="30"/>
    </row>
    <row r="7" spans="1:21" ht="14.25">
      <c r="A7" s="40" t="s">
        <v>130</v>
      </c>
      <c r="B7" s="41"/>
      <c r="C7" s="41">
        <f>13580+32000+500+34000+3000-32000-32000</f>
        <v>19080</v>
      </c>
      <c r="D7" s="72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80">
        <f>SUM(C7:T7)</f>
        <v>19080</v>
      </c>
    </row>
    <row r="8" spans="1:21" ht="14.25">
      <c r="A8" s="43" t="s">
        <v>131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>
        <f>SUM(C8:T8)</f>
        <v>0</v>
      </c>
    </row>
    <row r="9" spans="1:21" ht="14.25">
      <c r="A9" s="55" t="s">
        <v>132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8">
        <f>SUM(C9:T9)</f>
        <v>0</v>
      </c>
    </row>
    <row r="10" spans="1:21" ht="14.25">
      <c r="A10" s="53" t="s">
        <v>133</v>
      </c>
      <c r="B10" s="54"/>
      <c r="C10" s="54">
        <f>SUM(C7:C9)</f>
        <v>19080</v>
      </c>
      <c r="D10" s="54">
        <f>SUM(D7:D9)</f>
        <v>0</v>
      </c>
      <c r="E10" s="54"/>
      <c r="F10" s="54"/>
      <c r="G10" s="54"/>
      <c r="H10" s="54"/>
      <c r="I10" s="54"/>
      <c r="J10" s="54"/>
      <c r="K10" s="54"/>
      <c r="L10" s="54">
        <f>SUM(L7:L9)</f>
        <v>0</v>
      </c>
      <c r="M10" s="54"/>
      <c r="N10" s="54"/>
      <c r="O10" s="54"/>
      <c r="P10" s="54"/>
      <c r="Q10" s="54"/>
      <c r="R10" s="54"/>
      <c r="S10" s="54"/>
      <c r="T10" s="54"/>
      <c r="U10" s="54">
        <f>SUM(B10:T10)</f>
        <v>19080</v>
      </c>
    </row>
    <row r="11" spans="1:21" ht="14.25">
      <c r="A11" s="57" t="s">
        <v>164</v>
      </c>
      <c r="B11" s="50"/>
      <c r="C11" s="50">
        <f>922699+C10</f>
        <v>941779</v>
      </c>
      <c r="D11" s="50">
        <v>0</v>
      </c>
      <c r="E11" s="50"/>
      <c r="F11" s="50"/>
      <c r="G11" s="50"/>
      <c r="H11" s="50"/>
      <c r="I11" s="50"/>
      <c r="J11" s="50"/>
      <c r="K11" s="50"/>
      <c r="L11" s="50">
        <v>0</v>
      </c>
      <c r="M11" s="50"/>
      <c r="N11" s="50"/>
      <c r="O11" s="50"/>
      <c r="P11" s="50"/>
      <c r="Q11" s="50"/>
      <c r="R11" s="50"/>
      <c r="S11" s="50"/>
      <c r="T11" s="50"/>
      <c r="U11" s="112">
        <f aca="true" t="shared" si="0" ref="U11:U16">SUM(C11:T11)</f>
        <v>941779</v>
      </c>
    </row>
    <row r="12" spans="1:21" ht="14.25">
      <c r="A12" s="56" t="s">
        <v>134</v>
      </c>
      <c r="B12" s="54"/>
      <c r="C12" s="54">
        <f>161000+3510+3510+35700</f>
        <v>203720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>
        <f t="shared" si="0"/>
        <v>203720</v>
      </c>
    </row>
    <row r="13" spans="1:21" ht="14.25">
      <c r="A13" s="43" t="s">
        <v>135</v>
      </c>
      <c r="B13" s="49"/>
      <c r="C13" s="49">
        <f>56410+22200+12200-2490</f>
        <v>88320</v>
      </c>
      <c r="D13" s="107">
        <f>32290+1900+13300</f>
        <v>47490</v>
      </c>
      <c r="E13" s="49"/>
      <c r="F13" s="49"/>
      <c r="G13" s="49"/>
      <c r="H13" s="49"/>
      <c r="I13" s="49"/>
      <c r="J13" s="49"/>
      <c r="K13" s="49"/>
      <c r="L13" s="49">
        <f>40010+8700</f>
        <v>48710</v>
      </c>
      <c r="M13" s="49"/>
      <c r="N13" s="49"/>
      <c r="O13" s="49"/>
      <c r="P13" s="49"/>
      <c r="Q13" s="49"/>
      <c r="R13" s="49"/>
      <c r="S13" s="49"/>
      <c r="T13" s="49"/>
      <c r="U13" s="54">
        <f t="shared" si="0"/>
        <v>184520</v>
      </c>
    </row>
    <row r="14" spans="1:21" ht="14.25">
      <c r="A14" s="43" t="s">
        <v>136</v>
      </c>
      <c r="B14" s="49"/>
      <c r="C14" s="49">
        <f>1170</f>
        <v>1170</v>
      </c>
      <c r="D14" s="49">
        <f>4500</f>
        <v>4500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4">
        <f t="shared" si="0"/>
        <v>5670</v>
      </c>
    </row>
    <row r="15" spans="1:21" ht="14.25">
      <c r="A15" s="43" t="s">
        <v>137</v>
      </c>
      <c r="B15" s="49"/>
      <c r="C15" s="49">
        <f>3500</f>
        <v>3500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54">
        <f t="shared" si="0"/>
        <v>3500</v>
      </c>
    </row>
    <row r="16" spans="1:21" ht="14.25">
      <c r="A16" s="74" t="s">
        <v>173</v>
      </c>
      <c r="B16" s="73"/>
      <c r="C16" s="73">
        <v>6000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54">
        <f t="shared" si="0"/>
        <v>6000</v>
      </c>
    </row>
    <row r="17" spans="1:21" ht="14.25">
      <c r="A17" s="59" t="s">
        <v>133</v>
      </c>
      <c r="B17" s="41"/>
      <c r="C17" s="41">
        <f>SUM(C12:C16)</f>
        <v>302710</v>
      </c>
      <c r="D17" s="41">
        <f>SUM(D12:D16)</f>
        <v>51990</v>
      </c>
      <c r="E17" s="41"/>
      <c r="F17" s="41"/>
      <c r="G17" s="41"/>
      <c r="H17" s="41"/>
      <c r="I17" s="41"/>
      <c r="J17" s="41"/>
      <c r="K17" s="41"/>
      <c r="L17" s="41">
        <f>SUM(L12:L16)</f>
        <v>48710</v>
      </c>
      <c r="M17" s="41"/>
      <c r="N17" s="41"/>
      <c r="O17" s="41"/>
      <c r="P17" s="41"/>
      <c r="Q17" s="41"/>
      <c r="R17" s="41"/>
      <c r="S17" s="41"/>
      <c r="T17" s="41"/>
      <c r="U17" s="41">
        <f aca="true" t="shared" si="1" ref="U17:U28">SUM(B17:T17)</f>
        <v>403410</v>
      </c>
    </row>
    <row r="18" spans="1:21" ht="14.25">
      <c r="A18" s="57" t="s">
        <v>164</v>
      </c>
      <c r="B18" s="50"/>
      <c r="C18" s="58">
        <f>1930164+C17</f>
        <v>2232874</v>
      </c>
      <c r="D18" s="58">
        <f>319784+D17</f>
        <v>371774</v>
      </c>
      <c r="E18" s="50"/>
      <c r="F18" s="50"/>
      <c r="G18" s="50"/>
      <c r="H18" s="50"/>
      <c r="I18" s="50"/>
      <c r="J18" s="50"/>
      <c r="K18" s="50"/>
      <c r="L18" s="50">
        <f>296045+L17</f>
        <v>344755</v>
      </c>
      <c r="M18" s="50"/>
      <c r="N18" s="50"/>
      <c r="O18" s="50"/>
      <c r="P18" s="50"/>
      <c r="Q18" s="50"/>
      <c r="R18" s="50"/>
      <c r="S18" s="50"/>
      <c r="T18" s="50"/>
      <c r="U18" s="112">
        <f>SUM(C18:T18)</f>
        <v>2949403</v>
      </c>
    </row>
    <row r="19" spans="1:21" ht="14.25">
      <c r="A19" s="25" t="s">
        <v>138</v>
      </c>
      <c r="B19" s="58"/>
      <c r="C19" s="58">
        <f>44340+13440+722+266+266</f>
        <v>59034</v>
      </c>
      <c r="D19" s="58">
        <f>12740+3940</f>
        <v>16680</v>
      </c>
      <c r="E19" s="58"/>
      <c r="F19" s="58"/>
      <c r="G19" s="58"/>
      <c r="H19" s="58"/>
      <c r="I19" s="58"/>
      <c r="J19" s="58"/>
      <c r="K19" s="58"/>
      <c r="L19" s="58">
        <f>33060+9940</f>
        <v>43000</v>
      </c>
      <c r="M19" s="58"/>
      <c r="N19" s="58"/>
      <c r="O19" s="58"/>
      <c r="P19" s="58"/>
      <c r="Q19" s="58"/>
      <c r="R19" s="58"/>
      <c r="S19" s="58"/>
      <c r="T19" s="58"/>
      <c r="U19" s="58">
        <f>SUM(C19:T19)</f>
        <v>118714</v>
      </c>
    </row>
    <row r="20" spans="1:21" ht="14.25">
      <c r="A20" s="53" t="s">
        <v>133</v>
      </c>
      <c r="B20" s="54"/>
      <c r="C20" s="54">
        <f>SUM(C19)</f>
        <v>59034</v>
      </c>
      <c r="D20" s="54">
        <f>SUM(D19)</f>
        <v>16680</v>
      </c>
      <c r="E20" s="54"/>
      <c r="F20" s="54"/>
      <c r="G20" s="54"/>
      <c r="H20" s="54"/>
      <c r="I20" s="54"/>
      <c r="J20" s="54"/>
      <c r="K20" s="54"/>
      <c r="L20" s="54">
        <f>SUM(L19)</f>
        <v>43000</v>
      </c>
      <c r="M20" s="54"/>
      <c r="N20" s="54"/>
      <c r="O20" s="54"/>
      <c r="P20" s="54"/>
      <c r="Q20" s="54"/>
      <c r="R20" s="54"/>
      <c r="S20" s="54"/>
      <c r="T20" s="54"/>
      <c r="U20" s="54">
        <f t="shared" si="1"/>
        <v>118714</v>
      </c>
    </row>
    <row r="21" spans="1:21" ht="14.25">
      <c r="A21" s="57" t="s">
        <v>164</v>
      </c>
      <c r="B21" s="50"/>
      <c r="C21" s="50">
        <f>363408+C20</f>
        <v>422442</v>
      </c>
      <c r="D21" s="50">
        <f>116760+D20</f>
        <v>133440</v>
      </c>
      <c r="E21" s="50"/>
      <c r="F21" s="50"/>
      <c r="G21" s="50"/>
      <c r="H21" s="50"/>
      <c r="I21" s="50"/>
      <c r="J21" s="50"/>
      <c r="K21" s="50"/>
      <c r="L21" s="50">
        <f>284600+L20</f>
        <v>327600</v>
      </c>
      <c r="M21" s="50"/>
      <c r="N21" s="50"/>
      <c r="O21" s="50"/>
      <c r="P21" s="50"/>
      <c r="Q21" s="50"/>
      <c r="R21" s="50"/>
      <c r="S21" s="50"/>
      <c r="T21" s="50"/>
      <c r="U21" s="112">
        <f t="shared" si="1"/>
        <v>883482</v>
      </c>
    </row>
    <row r="22" spans="1:21" ht="14.25">
      <c r="A22" s="56" t="s">
        <v>139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>
        <f t="shared" si="1"/>
        <v>0</v>
      </c>
    </row>
    <row r="23" spans="1:21" ht="14.25">
      <c r="A23" s="43" t="s">
        <v>140</v>
      </c>
      <c r="B23" s="49"/>
      <c r="C23" s="49"/>
      <c r="D23" s="49">
        <f>2300</f>
        <v>2300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4">
        <f t="shared" si="1"/>
        <v>2300</v>
      </c>
    </row>
    <row r="24" spans="1:21" ht="14.25">
      <c r="A24" s="43" t="s">
        <v>141</v>
      </c>
      <c r="B24" s="49"/>
      <c r="C24" s="49">
        <f>5200</f>
        <v>5200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54">
        <f t="shared" si="1"/>
        <v>5200</v>
      </c>
    </row>
    <row r="25" spans="1:21" ht="14.25">
      <c r="A25" s="43" t="s">
        <v>142</v>
      </c>
      <c r="B25" s="49"/>
      <c r="C25" s="49">
        <f>3000+1950+1950+3000</f>
        <v>9900</v>
      </c>
      <c r="D25" s="49">
        <f>2400+2400</f>
        <v>4800</v>
      </c>
      <c r="E25" s="49"/>
      <c r="F25" s="49"/>
      <c r="G25" s="49"/>
      <c r="H25" s="49"/>
      <c r="I25" s="49"/>
      <c r="J25" s="49"/>
      <c r="K25" s="49"/>
      <c r="L25" s="49">
        <f>1900+1900</f>
        <v>3800</v>
      </c>
      <c r="M25" s="49"/>
      <c r="N25" s="49"/>
      <c r="O25" s="49"/>
      <c r="P25" s="49"/>
      <c r="Q25" s="49"/>
      <c r="R25" s="49"/>
      <c r="S25" s="49"/>
      <c r="T25" s="49"/>
      <c r="U25" s="54">
        <f t="shared" si="1"/>
        <v>18500</v>
      </c>
    </row>
    <row r="26" spans="1:21" ht="14.25">
      <c r="A26" s="43" t="s">
        <v>143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4">
        <f t="shared" si="1"/>
        <v>0</v>
      </c>
    </row>
    <row r="27" spans="1:21" ht="14.25">
      <c r="A27" s="61" t="s">
        <v>144</v>
      </c>
      <c r="B27" s="69"/>
      <c r="C27" s="69">
        <f>1390+39761</f>
        <v>41151</v>
      </c>
      <c r="D27" s="69">
        <f>20005</f>
        <v>20005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3">
        <f>SUM(C27:T27)</f>
        <v>61156</v>
      </c>
    </row>
    <row r="28" spans="1:21" ht="14.25">
      <c r="A28" s="55" t="s">
        <v>220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>
        <f t="shared" si="1"/>
        <v>0</v>
      </c>
    </row>
    <row r="29" spans="1:21" ht="14.25">
      <c r="A29" s="53" t="s">
        <v>133</v>
      </c>
      <c r="B29" s="54"/>
      <c r="C29" s="54">
        <f>SUM(C22:C28)</f>
        <v>56251</v>
      </c>
      <c r="D29" s="54">
        <f>SUM(D22:D28)</f>
        <v>27105</v>
      </c>
      <c r="E29" s="54"/>
      <c r="F29" s="54"/>
      <c r="G29" s="54"/>
      <c r="H29" s="54"/>
      <c r="I29" s="54"/>
      <c r="J29" s="54"/>
      <c r="K29" s="54"/>
      <c r="L29" s="54">
        <f>SUM(L22:L28)</f>
        <v>3800</v>
      </c>
      <c r="M29" s="54"/>
      <c r="N29" s="54"/>
      <c r="O29" s="54"/>
      <c r="P29" s="54"/>
      <c r="Q29" s="54"/>
      <c r="R29" s="54"/>
      <c r="S29" s="54"/>
      <c r="T29" s="54"/>
      <c r="U29" s="54">
        <f>SUM(B29:T29)</f>
        <v>87156</v>
      </c>
    </row>
    <row r="30" spans="1:21" ht="14.25">
      <c r="A30" s="57" t="s">
        <v>164</v>
      </c>
      <c r="B30" s="50"/>
      <c r="C30" s="50">
        <f>416536+C29</f>
        <v>472787</v>
      </c>
      <c r="D30" s="50">
        <f>107467+D29</f>
        <v>134572</v>
      </c>
      <c r="E30" s="50"/>
      <c r="F30" s="50"/>
      <c r="G30" s="50"/>
      <c r="H30" s="50"/>
      <c r="I30" s="50"/>
      <c r="J30" s="50"/>
      <c r="K30" s="50"/>
      <c r="L30" s="50">
        <f>14970+L29</f>
        <v>18770</v>
      </c>
      <c r="M30" s="50"/>
      <c r="N30" s="50"/>
      <c r="O30" s="50"/>
      <c r="P30" s="50"/>
      <c r="Q30" s="50"/>
      <c r="R30" s="50"/>
      <c r="S30" s="50"/>
      <c r="T30" s="50"/>
      <c r="U30" s="112">
        <f>SUM(C30:T30)</f>
        <v>626129</v>
      </c>
    </row>
    <row r="31" spans="1:21" ht="14.25">
      <c r="A31" s="56" t="s">
        <v>145</v>
      </c>
      <c r="B31" s="54"/>
      <c r="C31" s="54">
        <f>8500+8500+8670+5500+33810+3850</f>
        <v>68830</v>
      </c>
      <c r="D31" s="54">
        <f>4911</f>
        <v>4911</v>
      </c>
      <c r="E31" s="54"/>
      <c r="F31" s="54"/>
      <c r="G31" s="54"/>
      <c r="H31" s="54"/>
      <c r="I31" s="54"/>
      <c r="J31" s="54"/>
      <c r="K31" s="54"/>
      <c r="L31" s="54">
        <f>5080+5080+5080</f>
        <v>15240</v>
      </c>
      <c r="M31" s="54"/>
      <c r="N31" s="54"/>
      <c r="O31" s="54"/>
      <c r="P31" s="54"/>
      <c r="Q31" s="54"/>
      <c r="R31" s="54"/>
      <c r="S31" s="54"/>
      <c r="T31" s="54"/>
      <c r="U31" s="54">
        <f>SUM(C31:T31)</f>
        <v>88981</v>
      </c>
    </row>
    <row r="32" spans="1:21" ht="14.25">
      <c r="A32" s="43" t="s">
        <v>146</v>
      </c>
      <c r="B32" s="49"/>
      <c r="C32" s="49"/>
      <c r="D32" s="49">
        <f>500+3690</f>
        <v>4190</v>
      </c>
      <c r="E32" s="49"/>
      <c r="F32" s="49"/>
      <c r="G32" s="49"/>
      <c r="H32" s="49"/>
      <c r="I32" s="49"/>
      <c r="J32" s="49"/>
      <c r="K32" s="49"/>
      <c r="L32" s="49">
        <f>510000+310000</f>
        <v>820000</v>
      </c>
      <c r="M32" s="49"/>
      <c r="N32" s="49"/>
      <c r="O32" s="49"/>
      <c r="P32" s="49"/>
      <c r="Q32" s="49"/>
      <c r="R32" s="49"/>
      <c r="S32" s="49"/>
      <c r="T32" s="49"/>
      <c r="U32" s="49">
        <f>SUM(B32:T32)</f>
        <v>824190</v>
      </c>
    </row>
    <row r="33" spans="1:21" ht="14.25">
      <c r="A33" s="43" t="s">
        <v>147</v>
      </c>
      <c r="B33" s="49"/>
      <c r="C33" s="49">
        <f>90000+7500+7500+3000+750+2000+83100+18200</f>
        <v>212050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>
        <f>SUM(B33:T33)</f>
        <v>212050</v>
      </c>
    </row>
    <row r="34" spans="1:21" ht="14.25">
      <c r="A34" s="55" t="s">
        <v>148</v>
      </c>
      <c r="B34" s="50"/>
      <c r="C34" s="50"/>
      <c r="D34" s="50">
        <f>5080</f>
        <v>5080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49">
        <f>SUM(B34:T34)</f>
        <v>5080</v>
      </c>
    </row>
    <row r="35" spans="1:21" ht="14.25">
      <c r="A35" s="59" t="s">
        <v>133</v>
      </c>
      <c r="B35" s="41"/>
      <c r="C35" s="41">
        <f>SUM(C31:C34)</f>
        <v>280880</v>
      </c>
      <c r="D35" s="41">
        <f>SUM(D31:D34)</f>
        <v>14181</v>
      </c>
      <c r="E35" s="41"/>
      <c r="F35" s="41"/>
      <c r="G35" s="41"/>
      <c r="H35" s="41"/>
      <c r="I35" s="41"/>
      <c r="J35" s="41"/>
      <c r="K35" s="41"/>
      <c r="L35" s="41">
        <f>SUM(L31:L34)</f>
        <v>835240</v>
      </c>
      <c r="M35" s="41"/>
      <c r="N35" s="41"/>
      <c r="O35" s="41"/>
      <c r="P35" s="41"/>
      <c r="Q35" s="41"/>
      <c r="R35" s="41"/>
      <c r="S35" s="41"/>
      <c r="T35" s="41"/>
      <c r="U35" s="41">
        <f>SUM(C35:T35)</f>
        <v>1130301</v>
      </c>
    </row>
    <row r="36" spans="1:21" ht="14.25">
      <c r="A36" s="57" t="s">
        <v>164</v>
      </c>
      <c r="B36" s="50"/>
      <c r="C36" s="58">
        <f>1728187.5+C35</f>
        <v>2009067.5</v>
      </c>
      <c r="D36" s="50">
        <f>97881+D35</f>
        <v>112062</v>
      </c>
      <c r="E36" s="50"/>
      <c r="F36" s="50"/>
      <c r="G36" s="50"/>
      <c r="H36" s="50"/>
      <c r="I36" s="50"/>
      <c r="J36" s="50"/>
      <c r="K36" s="50"/>
      <c r="L36" s="50">
        <f>145685+L35</f>
        <v>980925</v>
      </c>
      <c r="M36" s="50"/>
      <c r="N36" s="50"/>
      <c r="O36" s="50"/>
      <c r="P36" s="50"/>
      <c r="Q36" s="50"/>
      <c r="R36" s="50"/>
      <c r="S36" s="50"/>
      <c r="T36" s="50"/>
      <c r="U36" s="112">
        <f>SUM(B36:T36)</f>
        <v>3102054.5</v>
      </c>
    </row>
    <row r="37" spans="1:21" ht="14.25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ht="14.25">
      <c r="A38" s="48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4.25">
      <c r="A39" s="4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4.25">
      <c r="A40" s="222" t="s">
        <v>167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</row>
    <row r="41" spans="1:21" ht="14.25">
      <c r="A41" s="28" t="s">
        <v>100</v>
      </c>
      <c r="B41" s="32" t="s">
        <v>102</v>
      </c>
      <c r="C41" s="223" t="s">
        <v>104</v>
      </c>
      <c r="D41" s="224"/>
      <c r="E41" s="223" t="s">
        <v>105</v>
      </c>
      <c r="F41" s="225"/>
      <c r="G41" s="223" t="s">
        <v>108</v>
      </c>
      <c r="H41" s="224"/>
      <c r="I41" s="36" t="s">
        <v>111</v>
      </c>
      <c r="J41" s="223" t="s">
        <v>113</v>
      </c>
      <c r="K41" s="224"/>
      <c r="L41" s="223" t="s">
        <v>116</v>
      </c>
      <c r="M41" s="224"/>
      <c r="N41" s="225" t="s">
        <v>118</v>
      </c>
      <c r="O41" s="225"/>
      <c r="P41" s="223" t="s">
        <v>121</v>
      </c>
      <c r="Q41" s="225"/>
      <c r="R41" s="224"/>
      <c r="S41" s="36" t="s">
        <v>125</v>
      </c>
      <c r="T41" s="35" t="s">
        <v>127</v>
      </c>
      <c r="U41" s="226" t="s">
        <v>129</v>
      </c>
    </row>
    <row r="42" spans="1:21" ht="14.25">
      <c r="A42" s="29" t="s">
        <v>101</v>
      </c>
      <c r="B42" s="33" t="s">
        <v>103</v>
      </c>
      <c r="C42" s="34" t="s">
        <v>214</v>
      </c>
      <c r="D42" s="37" t="s">
        <v>215</v>
      </c>
      <c r="E42" s="34" t="s">
        <v>106</v>
      </c>
      <c r="F42" s="34" t="s">
        <v>107</v>
      </c>
      <c r="G42" s="37" t="s">
        <v>109</v>
      </c>
      <c r="H42" s="35" t="s">
        <v>110</v>
      </c>
      <c r="I42" s="36" t="s">
        <v>112</v>
      </c>
      <c r="J42" s="34" t="s">
        <v>114</v>
      </c>
      <c r="K42" s="34" t="s">
        <v>115</v>
      </c>
      <c r="L42" s="37" t="s">
        <v>217</v>
      </c>
      <c r="M42" s="36" t="s">
        <v>117</v>
      </c>
      <c r="N42" s="37" t="s">
        <v>119</v>
      </c>
      <c r="O42" s="36" t="s">
        <v>120</v>
      </c>
      <c r="P42" s="37" t="s">
        <v>122</v>
      </c>
      <c r="Q42" s="36" t="s">
        <v>123</v>
      </c>
      <c r="R42" s="37" t="s">
        <v>124</v>
      </c>
      <c r="S42" s="37" t="s">
        <v>126</v>
      </c>
      <c r="T42" s="35" t="s">
        <v>128</v>
      </c>
      <c r="U42" s="228"/>
    </row>
    <row r="43" spans="1:21" ht="14.25">
      <c r="A43" s="40" t="s">
        <v>149</v>
      </c>
      <c r="B43" s="42"/>
      <c r="C43" s="41">
        <f>9000</f>
        <v>9000</v>
      </c>
      <c r="D43" s="41"/>
      <c r="E43" s="42"/>
      <c r="F43" s="42"/>
      <c r="G43" s="42"/>
      <c r="H43" s="42"/>
      <c r="I43" s="42"/>
      <c r="J43" s="42"/>
      <c r="K43" s="42"/>
      <c r="L43" s="41"/>
      <c r="M43" s="42"/>
      <c r="N43" s="42"/>
      <c r="O43" s="42"/>
      <c r="P43" s="42"/>
      <c r="Q43" s="42"/>
      <c r="R43" s="42"/>
      <c r="S43" s="42"/>
      <c r="T43" s="77"/>
      <c r="U43" s="41">
        <f>SUM(C43:T43)</f>
        <v>9000</v>
      </c>
    </row>
    <row r="44" spans="1:21" ht="14.25">
      <c r="A44" s="43" t="s">
        <v>150</v>
      </c>
      <c r="B44" s="44"/>
      <c r="C44" s="49"/>
      <c r="D44" s="49"/>
      <c r="E44" s="49"/>
      <c r="F44" s="49"/>
      <c r="G44" s="49"/>
      <c r="H44" s="49"/>
      <c r="I44" s="49"/>
      <c r="J44" s="49"/>
      <c r="K44" s="49"/>
      <c r="L44" s="49">
        <f>18414.7</f>
        <v>18414.7</v>
      </c>
      <c r="M44" s="49"/>
      <c r="N44" s="44"/>
      <c r="O44" s="44"/>
      <c r="P44" s="44"/>
      <c r="Q44" s="44"/>
      <c r="R44" s="44"/>
      <c r="S44" s="44"/>
      <c r="T44" s="78"/>
      <c r="U44" s="49">
        <f aca="true" t="shared" si="2" ref="U44:U51">SUM(B44:T44)</f>
        <v>18414.7</v>
      </c>
    </row>
    <row r="45" spans="1:21" ht="14.25">
      <c r="A45" s="43" t="s">
        <v>151</v>
      </c>
      <c r="B45" s="44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4"/>
      <c r="T45" s="78"/>
      <c r="U45" s="49">
        <f t="shared" si="2"/>
        <v>0</v>
      </c>
    </row>
    <row r="46" spans="1:21" ht="14.25">
      <c r="A46" s="43" t="s">
        <v>229</v>
      </c>
      <c r="B46" s="44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4"/>
      <c r="T46" s="78"/>
      <c r="U46" s="49">
        <f>SUM(C46:T46)</f>
        <v>0</v>
      </c>
    </row>
    <row r="47" spans="1:21" ht="14.25">
      <c r="A47" s="43" t="s">
        <v>152</v>
      </c>
      <c r="B47" s="44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4"/>
      <c r="T47" s="78"/>
      <c r="U47" s="49">
        <f t="shared" si="2"/>
        <v>0</v>
      </c>
    </row>
    <row r="48" spans="1:21" ht="14.25">
      <c r="A48" s="43" t="s">
        <v>153</v>
      </c>
      <c r="B48" s="44"/>
      <c r="C48" s="49">
        <f>14550+10000</f>
        <v>24550</v>
      </c>
      <c r="D48" s="49">
        <v>150</v>
      </c>
      <c r="E48" s="49"/>
      <c r="F48" s="49"/>
      <c r="G48" s="49"/>
      <c r="H48" s="49"/>
      <c r="I48" s="49"/>
      <c r="J48" s="49"/>
      <c r="K48" s="49"/>
      <c r="L48" s="49">
        <f>5000+5000</f>
        <v>10000</v>
      </c>
      <c r="M48" s="49"/>
      <c r="N48" s="49"/>
      <c r="O48" s="49"/>
      <c r="P48" s="49"/>
      <c r="Q48" s="49"/>
      <c r="R48" s="49"/>
      <c r="S48" s="44"/>
      <c r="T48" s="78"/>
      <c r="U48" s="49">
        <f t="shared" si="2"/>
        <v>34700</v>
      </c>
    </row>
    <row r="49" spans="1:21" ht="14.25">
      <c r="A49" s="43" t="s">
        <v>246</v>
      </c>
      <c r="B49" s="44"/>
      <c r="C49" s="49">
        <f>99306</f>
        <v>99306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4"/>
      <c r="T49" s="78"/>
      <c r="U49" s="49">
        <f t="shared" si="2"/>
        <v>99306</v>
      </c>
    </row>
    <row r="50" spans="1:21" ht="14.25">
      <c r="A50" s="61" t="s">
        <v>154</v>
      </c>
      <c r="B50" s="47"/>
      <c r="C50" s="69">
        <f>2500</f>
        <v>2500</v>
      </c>
      <c r="D50" s="69">
        <f>7150</f>
        <v>7150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47"/>
      <c r="T50" s="79"/>
      <c r="U50" s="69">
        <f>SUM(C50:T50)</f>
        <v>9650</v>
      </c>
    </row>
    <row r="51" spans="1:21" ht="14.25">
      <c r="A51" s="61" t="s">
        <v>223</v>
      </c>
      <c r="B51" s="4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47"/>
      <c r="T51" s="79"/>
      <c r="U51" s="50">
        <f t="shared" si="2"/>
        <v>0</v>
      </c>
    </row>
    <row r="52" spans="1:21" ht="14.25">
      <c r="A52" s="63" t="s">
        <v>133</v>
      </c>
      <c r="B52" s="42"/>
      <c r="C52" s="41">
        <f>SUM(C43:C51)</f>
        <v>135356</v>
      </c>
      <c r="D52" s="41">
        <f>SUM(D43:D51)</f>
        <v>7300</v>
      </c>
      <c r="E52" s="41"/>
      <c r="F52" s="41"/>
      <c r="G52" s="41"/>
      <c r="H52" s="41"/>
      <c r="I52" s="41"/>
      <c r="J52" s="41"/>
      <c r="K52" s="41"/>
      <c r="L52" s="41">
        <f>SUM(L43:L51)</f>
        <v>28414.7</v>
      </c>
      <c r="M52" s="41"/>
      <c r="N52" s="41"/>
      <c r="O52" s="41"/>
      <c r="P52" s="41"/>
      <c r="Q52" s="41"/>
      <c r="R52" s="41"/>
      <c r="S52" s="42"/>
      <c r="T52" s="42"/>
      <c r="U52" s="54">
        <f>C52+D52+L52</f>
        <v>171070.7</v>
      </c>
    </row>
    <row r="53" spans="1:21" ht="14.25">
      <c r="A53" s="64" t="s">
        <v>163</v>
      </c>
      <c r="B53" s="45"/>
      <c r="C53" s="50">
        <f>959676+C52</f>
        <v>1095032</v>
      </c>
      <c r="D53" s="50">
        <f>40338+D52</f>
        <v>47638</v>
      </c>
      <c r="E53" s="50"/>
      <c r="F53" s="50"/>
      <c r="G53" s="50"/>
      <c r="H53" s="50"/>
      <c r="I53" s="50"/>
      <c r="J53" s="50"/>
      <c r="K53" s="50"/>
      <c r="L53" s="50">
        <f>147693.98+L52</f>
        <v>176108.68000000002</v>
      </c>
      <c r="M53" s="50"/>
      <c r="N53" s="50"/>
      <c r="O53" s="50"/>
      <c r="P53" s="50"/>
      <c r="Q53" s="50"/>
      <c r="R53" s="50"/>
      <c r="S53" s="45"/>
      <c r="T53" s="45"/>
      <c r="U53" s="112">
        <f>SUM(C53:T53)</f>
        <v>1318778.68</v>
      </c>
    </row>
    <row r="54" spans="1:21" ht="14.25">
      <c r="A54" s="56" t="s">
        <v>155</v>
      </c>
      <c r="B54" s="62"/>
      <c r="C54" s="54">
        <f>10048.25+1812.71</f>
        <v>11860.96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62"/>
      <c r="T54" s="62"/>
      <c r="U54" s="54">
        <f aca="true" t="shared" si="3" ref="U54:U62">SUM(B54:T54)</f>
        <v>11860.96</v>
      </c>
    </row>
    <row r="55" spans="1:21" ht="14.25">
      <c r="A55" s="56" t="s">
        <v>218</v>
      </c>
      <c r="B55" s="62"/>
      <c r="C55" s="54">
        <f>563.68+616.48+476.74+651.68</f>
        <v>2308.58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62"/>
      <c r="T55" s="62"/>
      <c r="U55" s="54">
        <f>SUM(C55:T55)</f>
        <v>2308.58</v>
      </c>
    </row>
    <row r="56" spans="1:21" ht="14.25">
      <c r="A56" s="43" t="s">
        <v>156</v>
      </c>
      <c r="B56" s="44"/>
      <c r="C56" s="49">
        <f>813.74+190.09</f>
        <v>1003.83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4"/>
      <c r="T56" s="44"/>
      <c r="U56" s="49">
        <f t="shared" si="3"/>
        <v>1003.83</v>
      </c>
    </row>
    <row r="57" spans="1:21" ht="14.25">
      <c r="A57" s="43" t="s">
        <v>157</v>
      </c>
      <c r="B57" s="44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4"/>
      <c r="T57" s="44"/>
      <c r="U57" s="49">
        <f t="shared" si="3"/>
        <v>0</v>
      </c>
    </row>
    <row r="58" spans="1:21" ht="14.25">
      <c r="A58" s="61" t="s">
        <v>158</v>
      </c>
      <c r="B58" s="47"/>
      <c r="C58" s="69">
        <f>2782</f>
        <v>2782</v>
      </c>
      <c r="D58" s="69">
        <f>1311</f>
        <v>1311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47"/>
      <c r="T58" s="47"/>
      <c r="U58" s="49">
        <f t="shared" si="3"/>
        <v>4093</v>
      </c>
    </row>
    <row r="59" spans="1:21" ht="14.25">
      <c r="A59" s="63" t="s">
        <v>133</v>
      </c>
      <c r="B59" s="42"/>
      <c r="C59" s="41">
        <f>SUM(C54:C58)</f>
        <v>17955.37</v>
      </c>
      <c r="D59" s="41">
        <f>SUM(D54:D58)</f>
        <v>1311</v>
      </c>
      <c r="E59" s="41"/>
      <c r="F59" s="41"/>
      <c r="G59" s="41"/>
      <c r="H59" s="41"/>
      <c r="I59" s="41"/>
      <c r="J59" s="41"/>
      <c r="K59" s="41"/>
      <c r="L59" s="41">
        <f>SUM(L54:L58)</f>
        <v>0</v>
      </c>
      <c r="M59" s="41"/>
      <c r="N59" s="41"/>
      <c r="O59" s="41"/>
      <c r="P59" s="41"/>
      <c r="Q59" s="41"/>
      <c r="R59" s="41"/>
      <c r="S59" s="42"/>
      <c r="T59" s="42"/>
      <c r="U59" s="41">
        <f t="shared" si="3"/>
        <v>19266.37</v>
      </c>
    </row>
    <row r="60" spans="1:21" ht="14.25">
      <c r="A60" s="64" t="s">
        <v>163</v>
      </c>
      <c r="B60" s="45"/>
      <c r="C60" s="58">
        <f>129634.03+C59</f>
        <v>147589.4</v>
      </c>
      <c r="D60" s="50">
        <f>942+D59</f>
        <v>2253</v>
      </c>
      <c r="E60" s="50"/>
      <c r="F60" s="50"/>
      <c r="G60" s="50"/>
      <c r="H60" s="50"/>
      <c r="I60" s="50"/>
      <c r="J60" s="50"/>
      <c r="K60" s="50"/>
      <c r="L60" s="50">
        <v>0</v>
      </c>
      <c r="M60" s="50"/>
      <c r="N60" s="50"/>
      <c r="O60" s="50"/>
      <c r="P60" s="50"/>
      <c r="Q60" s="50"/>
      <c r="R60" s="50"/>
      <c r="S60" s="45"/>
      <c r="T60" s="45"/>
      <c r="U60" s="112">
        <f t="shared" si="3"/>
        <v>149842.4</v>
      </c>
    </row>
    <row r="61" spans="1:21" ht="14.25">
      <c r="A61" s="56" t="s">
        <v>159</v>
      </c>
      <c r="B61" s="62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9">
        <f t="shared" si="3"/>
        <v>0</v>
      </c>
    </row>
    <row r="62" spans="1:21" ht="14.25">
      <c r="A62" s="61" t="s">
        <v>160</v>
      </c>
      <c r="B62" s="4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49">
        <f t="shared" si="3"/>
        <v>0</v>
      </c>
    </row>
    <row r="63" spans="1:21" ht="14.25">
      <c r="A63" s="63" t="s">
        <v>133</v>
      </c>
      <c r="B63" s="42"/>
      <c r="C63" s="41">
        <f>SUM(C61:C62)</f>
        <v>0</v>
      </c>
      <c r="D63" s="41">
        <f>SUM(D61:D62)</f>
        <v>0</v>
      </c>
      <c r="E63" s="41"/>
      <c r="F63" s="41"/>
      <c r="G63" s="41"/>
      <c r="H63" s="41"/>
      <c r="I63" s="41"/>
      <c r="J63" s="41"/>
      <c r="K63" s="41"/>
      <c r="L63" s="41">
        <f>SUM(L61:L62)</f>
        <v>0</v>
      </c>
      <c r="M63" s="41"/>
      <c r="N63" s="41"/>
      <c r="O63" s="41"/>
      <c r="P63" s="41"/>
      <c r="Q63" s="41"/>
      <c r="R63" s="41"/>
      <c r="S63" s="41"/>
      <c r="T63" s="41"/>
      <c r="U63" s="41">
        <f>SUM(C63:T63)</f>
        <v>0</v>
      </c>
    </row>
    <row r="64" spans="1:21" ht="14.25">
      <c r="A64" s="64" t="s">
        <v>163</v>
      </c>
      <c r="B64" s="45"/>
      <c r="C64" s="50">
        <f>2607196.3+C63</f>
        <v>2607196.3</v>
      </c>
      <c r="D64" s="50">
        <v>0</v>
      </c>
      <c r="E64" s="50"/>
      <c r="F64" s="50"/>
      <c r="G64" s="50"/>
      <c r="H64" s="50"/>
      <c r="I64" s="50"/>
      <c r="J64" s="50"/>
      <c r="K64" s="50"/>
      <c r="L64" s="50">
        <v>0</v>
      </c>
      <c r="M64" s="50"/>
      <c r="N64" s="50"/>
      <c r="O64" s="50"/>
      <c r="P64" s="50"/>
      <c r="Q64" s="50"/>
      <c r="R64" s="50"/>
      <c r="S64" s="50"/>
      <c r="T64" s="50"/>
      <c r="U64" s="112">
        <f>SUM(C64:T64)</f>
        <v>2607196.3</v>
      </c>
    </row>
    <row r="65" spans="1:21" ht="14.25">
      <c r="A65" s="56" t="s">
        <v>161</v>
      </c>
      <c r="B65" s="62"/>
      <c r="C65" s="54"/>
      <c r="D65" s="54">
        <f>37450</f>
        <v>37450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9">
        <f>SUM(B65:T65)</f>
        <v>37450</v>
      </c>
    </row>
    <row r="66" spans="1:21" ht="14.25">
      <c r="A66" s="43" t="s">
        <v>247</v>
      </c>
      <c r="B66" s="44"/>
      <c r="C66" s="49">
        <f>144700</f>
        <v>144700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>
        <f>SUM(B66:T66)</f>
        <v>144700</v>
      </c>
    </row>
    <row r="67" spans="1:21" ht="14.25">
      <c r="A67" s="61" t="s">
        <v>230</v>
      </c>
      <c r="B67" s="4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49">
        <f>SUM(C67:T67)</f>
        <v>0</v>
      </c>
    </row>
    <row r="68" spans="1:21" ht="14.25">
      <c r="A68" s="61" t="s">
        <v>221</v>
      </c>
      <c r="B68" s="47"/>
      <c r="C68" s="69"/>
      <c r="D68" s="69"/>
      <c r="E68" s="69"/>
      <c r="F68" s="69"/>
      <c r="G68" s="69"/>
      <c r="H68" s="69"/>
      <c r="I68" s="69"/>
      <c r="J68" s="69"/>
      <c r="K68" s="69"/>
      <c r="L68" s="69">
        <f>9700+11299.2</f>
        <v>20999.2</v>
      </c>
      <c r="M68" s="69"/>
      <c r="N68" s="69"/>
      <c r="O68" s="69"/>
      <c r="P68" s="69"/>
      <c r="Q68" s="69"/>
      <c r="R68" s="69"/>
      <c r="S68" s="69"/>
      <c r="T68" s="69"/>
      <c r="U68" s="49">
        <f>SUM(B68:T68)</f>
        <v>20999.2</v>
      </c>
    </row>
    <row r="69" spans="1:21" ht="14.25">
      <c r="A69" s="63" t="s">
        <v>133</v>
      </c>
      <c r="B69" s="42"/>
      <c r="C69" s="41">
        <f>SUM(C65:C68)</f>
        <v>144700</v>
      </c>
      <c r="D69" s="41">
        <f>SUM(D65:D68)</f>
        <v>37450</v>
      </c>
      <c r="E69" s="41"/>
      <c r="F69" s="41"/>
      <c r="G69" s="41"/>
      <c r="H69" s="41"/>
      <c r="I69" s="41"/>
      <c r="J69" s="41"/>
      <c r="K69" s="41"/>
      <c r="L69" s="41">
        <f>SUM(L65:L68)</f>
        <v>20999.2</v>
      </c>
      <c r="M69" s="41"/>
      <c r="N69" s="41"/>
      <c r="O69" s="41"/>
      <c r="P69" s="41"/>
      <c r="Q69" s="41"/>
      <c r="R69" s="41"/>
      <c r="S69" s="41"/>
      <c r="T69" s="41"/>
      <c r="U69" s="41">
        <f aca="true" t="shared" si="4" ref="U69:U74">SUM(C69:T69)</f>
        <v>203149.2</v>
      </c>
    </row>
    <row r="70" spans="1:21" ht="14.25">
      <c r="A70" s="64" t="s">
        <v>163</v>
      </c>
      <c r="B70" s="45"/>
      <c r="C70" s="50">
        <f>74926.95+C69</f>
        <v>219626.95</v>
      </c>
      <c r="D70" s="50">
        <f>108073+D69</f>
        <v>145523</v>
      </c>
      <c r="E70" s="50"/>
      <c r="F70" s="50"/>
      <c r="G70" s="50"/>
      <c r="H70" s="50"/>
      <c r="I70" s="50"/>
      <c r="J70" s="50"/>
      <c r="K70" s="50"/>
      <c r="L70" s="50">
        <f>46256+L69</f>
        <v>67255.2</v>
      </c>
      <c r="M70" s="50"/>
      <c r="N70" s="50"/>
      <c r="O70" s="50"/>
      <c r="P70" s="50"/>
      <c r="Q70" s="50"/>
      <c r="R70" s="50"/>
      <c r="S70" s="50"/>
      <c r="T70" s="50"/>
      <c r="U70" s="112">
        <f t="shared" si="4"/>
        <v>432405.15</v>
      </c>
    </row>
    <row r="71" spans="1:21" ht="14.25">
      <c r="A71" s="71" t="s">
        <v>162</v>
      </c>
      <c r="B71" s="46"/>
      <c r="C71" s="60"/>
      <c r="D71" s="60"/>
      <c r="E71" s="60"/>
      <c r="F71" s="60"/>
      <c r="G71" s="60"/>
      <c r="H71" s="60"/>
      <c r="I71" s="60"/>
      <c r="J71" s="60"/>
      <c r="K71" s="60"/>
      <c r="L71" s="60">
        <f>415000</f>
        <v>415000</v>
      </c>
      <c r="M71" s="60"/>
      <c r="N71" s="60"/>
      <c r="O71" s="60"/>
      <c r="P71" s="60"/>
      <c r="Q71" s="60"/>
      <c r="R71" s="60"/>
      <c r="S71" s="60"/>
      <c r="T71" s="60"/>
      <c r="U71" s="41">
        <f t="shared" si="4"/>
        <v>415000</v>
      </c>
    </row>
    <row r="72" spans="1:21" ht="14.25">
      <c r="A72" s="70" t="s">
        <v>133</v>
      </c>
      <c r="B72" s="62"/>
      <c r="C72" s="54">
        <f>C71</f>
        <v>0</v>
      </c>
      <c r="D72" s="54">
        <v>0</v>
      </c>
      <c r="E72" s="54"/>
      <c r="F72" s="54"/>
      <c r="G72" s="54"/>
      <c r="H72" s="54"/>
      <c r="I72" s="54"/>
      <c r="J72" s="54"/>
      <c r="K72" s="54"/>
      <c r="L72" s="54">
        <f>SUM(L71)</f>
        <v>415000</v>
      </c>
      <c r="M72" s="54"/>
      <c r="N72" s="54"/>
      <c r="O72" s="54"/>
      <c r="P72" s="54"/>
      <c r="Q72" s="54"/>
      <c r="R72" s="54"/>
      <c r="S72" s="54"/>
      <c r="T72" s="54"/>
      <c r="U72" s="41">
        <f t="shared" si="4"/>
        <v>415000</v>
      </c>
    </row>
    <row r="73" spans="1:21" ht="14.25">
      <c r="A73" s="51" t="s">
        <v>163</v>
      </c>
      <c r="B73" s="45"/>
      <c r="C73" s="50">
        <v>0</v>
      </c>
      <c r="D73" s="50">
        <v>0</v>
      </c>
      <c r="E73" s="50"/>
      <c r="F73" s="45"/>
      <c r="G73" s="45"/>
      <c r="H73" s="45"/>
      <c r="I73" s="45"/>
      <c r="J73" s="45"/>
      <c r="K73" s="45"/>
      <c r="L73" s="92">
        <v>415000</v>
      </c>
      <c r="M73" s="45"/>
      <c r="N73" s="45"/>
      <c r="O73" s="45"/>
      <c r="P73" s="45"/>
      <c r="Q73" s="45"/>
      <c r="R73" s="45"/>
      <c r="S73" s="45"/>
      <c r="T73" s="45"/>
      <c r="U73" s="112">
        <f t="shared" si="4"/>
        <v>415000</v>
      </c>
    </row>
    <row r="74" spans="1:21" ht="18.75">
      <c r="A74" s="52" t="s">
        <v>133</v>
      </c>
      <c r="B74" s="46"/>
      <c r="C74" s="68">
        <f>C10+C17+C20+C29+C35+C52+C59+C63+C69</f>
        <v>1015966.37</v>
      </c>
      <c r="D74" s="68">
        <f>D10+D17+D20+D29+D35+D52+D59+D63+D69</f>
        <v>156017</v>
      </c>
      <c r="E74" s="68">
        <f aca="true" t="shared" si="5" ref="E74:T74">E10+E17+E20+E29+E35+E52+E59+E63+E69</f>
        <v>0</v>
      </c>
      <c r="F74" s="68">
        <f t="shared" si="5"/>
        <v>0</v>
      </c>
      <c r="G74" s="68">
        <f t="shared" si="5"/>
        <v>0</v>
      </c>
      <c r="H74" s="68">
        <f t="shared" si="5"/>
        <v>0</v>
      </c>
      <c r="I74" s="68">
        <f t="shared" si="5"/>
        <v>0</v>
      </c>
      <c r="J74" s="68">
        <f t="shared" si="5"/>
        <v>0</v>
      </c>
      <c r="K74" s="68">
        <f t="shared" si="5"/>
        <v>0</v>
      </c>
      <c r="L74" s="68">
        <f>L10+L17+L20+L29+L35+L52+L59+L63+L69+L72</f>
        <v>1395163.9</v>
      </c>
      <c r="M74" s="68">
        <f t="shared" si="5"/>
        <v>0</v>
      </c>
      <c r="N74" s="68">
        <f t="shared" si="5"/>
        <v>0</v>
      </c>
      <c r="O74" s="68">
        <f t="shared" si="5"/>
        <v>0</v>
      </c>
      <c r="P74" s="68">
        <f t="shared" si="5"/>
        <v>0</v>
      </c>
      <c r="Q74" s="68">
        <f t="shared" si="5"/>
        <v>0</v>
      </c>
      <c r="R74" s="68">
        <f t="shared" si="5"/>
        <v>0</v>
      </c>
      <c r="S74" s="68">
        <f t="shared" si="5"/>
        <v>0</v>
      </c>
      <c r="T74" s="68">
        <f t="shared" si="5"/>
        <v>0</v>
      </c>
      <c r="U74" s="68">
        <f t="shared" si="4"/>
        <v>2567147.27</v>
      </c>
    </row>
    <row r="75" spans="1:21" ht="19.5" thickBot="1">
      <c r="A75" s="113" t="s">
        <v>163</v>
      </c>
      <c r="B75" s="114"/>
      <c r="C75" s="115">
        <f>9132427.78+C74</f>
        <v>10148394.149999999</v>
      </c>
      <c r="D75" s="115">
        <f>791245+D74</f>
        <v>947262</v>
      </c>
      <c r="E75" s="115">
        <f aca="true" t="shared" si="6" ref="E75:K75">E11+E18+E21+E30+E36+E53+E60+E64+E70+E73</f>
        <v>0</v>
      </c>
      <c r="F75" s="115">
        <f t="shared" si="6"/>
        <v>0</v>
      </c>
      <c r="G75" s="115">
        <f t="shared" si="6"/>
        <v>0</v>
      </c>
      <c r="H75" s="115">
        <f t="shared" si="6"/>
        <v>0</v>
      </c>
      <c r="I75" s="115">
        <f t="shared" si="6"/>
        <v>0</v>
      </c>
      <c r="J75" s="115">
        <f t="shared" si="6"/>
        <v>0</v>
      </c>
      <c r="K75" s="115">
        <f t="shared" si="6"/>
        <v>0</v>
      </c>
      <c r="L75" s="115">
        <f>935249.98+L74</f>
        <v>2330413.88</v>
      </c>
      <c r="M75" s="115">
        <v>0</v>
      </c>
      <c r="N75" s="115">
        <f aca="true" t="shared" si="7" ref="N75:T75">N11+N18+N21+N30+N36+N53+N60+N64+N70+N73</f>
        <v>0</v>
      </c>
      <c r="O75" s="115">
        <f t="shared" si="7"/>
        <v>0</v>
      </c>
      <c r="P75" s="115">
        <f t="shared" si="7"/>
        <v>0</v>
      </c>
      <c r="Q75" s="115">
        <f t="shared" si="7"/>
        <v>0</v>
      </c>
      <c r="R75" s="115">
        <f t="shared" si="7"/>
        <v>0</v>
      </c>
      <c r="S75" s="115">
        <f t="shared" si="7"/>
        <v>0</v>
      </c>
      <c r="T75" s="115">
        <f t="shared" si="7"/>
        <v>0</v>
      </c>
      <c r="U75" s="115">
        <f>SUM(C75:T75)</f>
        <v>13426070.029999997</v>
      </c>
    </row>
    <row r="76" ht="15" thickTop="1">
      <c r="A76" s="38"/>
    </row>
    <row r="77" spans="1:21" ht="14.25">
      <c r="A77" s="221" t="s">
        <v>187</v>
      </c>
      <c r="B77" s="221"/>
      <c r="C77" s="221"/>
      <c r="D77" s="221"/>
      <c r="E77" s="221"/>
      <c r="F77" s="221"/>
      <c r="H77" s="220" t="s">
        <v>188</v>
      </c>
      <c r="I77" s="220"/>
      <c r="J77" s="220"/>
      <c r="K77" s="220"/>
      <c r="L77" s="220"/>
      <c r="M77" s="220"/>
      <c r="N77" s="220"/>
      <c r="O77" s="220"/>
      <c r="Q77" s="220" t="s">
        <v>96</v>
      </c>
      <c r="R77" s="220"/>
      <c r="S77" s="220"/>
      <c r="T77" s="220"/>
      <c r="U77" s="220"/>
    </row>
    <row r="78" spans="1:21" ht="14.25">
      <c r="A78" s="221" t="s">
        <v>53</v>
      </c>
      <c r="B78" s="221"/>
      <c r="C78" s="221"/>
      <c r="D78" s="221"/>
      <c r="E78" s="221"/>
      <c r="F78" s="221"/>
      <c r="H78" s="220" t="s">
        <v>165</v>
      </c>
      <c r="I78" s="220"/>
      <c r="J78" s="220"/>
      <c r="K78" s="220"/>
      <c r="L78" s="220"/>
      <c r="M78" s="220"/>
      <c r="N78" s="220"/>
      <c r="O78" s="220"/>
      <c r="Q78" s="220" t="s">
        <v>166</v>
      </c>
      <c r="R78" s="220"/>
      <c r="S78" s="220"/>
      <c r="T78" s="220"/>
      <c r="U78" s="220"/>
    </row>
    <row r="79" ht="14.25">
      <c r="A79" s="30"/>
    </row>
    <row r="80" ht="14.25">
      <c r="A80" s="30"/>
    </row>
    <row r="81" ht="14.25">
      <c r="A81" s="30"/>
    </row>
    <row r="82" ht="14.25">
      <c r="A82" s="30"/>
    </row>
    <row r="83" ht="14.25">
      <c r="A83" s="30"/>
    </row>
    <row r="84" ht="14.25">
      <c r="A84" s="30"/>
    </row>
    <row r="85" ht="14.25">
      <c r="A85" s="30"/>
    </row>
    <row r="86" ht="14.25">
      <c r="A86" s="30"/>
    </row>
    <row r="87" ht="14.25">
      <c r="A87" s="30"/>
    </row>
    <row r="88" ht="14.25">
      <c r="A88" s="30"/>
    </row>
    <row r="89" ht="14.25">
      <c r="A89" s="30"/>
    </row>
    <row r="90" ht="14.25">
      <c r="A90" s="30"/>
    </row>
    <row r="91" ht="14.25">
      <c r="A91" s="30"/>
    </row>
    <row r="92" ht="14.25">
      <c r="A92" s="30"/>
    </row>
    <row r="93" ht="14.25">
      <c r="A93" s="30"/>
    </row>
    <row r="94" ht="14.25">
      <c r="A94" s="30"/>
    </row>
    <row r="95" ht="14.25">
      <c r="A95" s="30"/>
    </row>
    <row r="96" ht="14.25">
      <c r="A96" s="30"/>
    </row>
    <row r="97" ht="14.25">
      <c r="A97" s="30"/>
    </row>
    <row r="98" ht="14.25">
      <c r="A98" s="30"/>
    </row>
    <row r="99" ht="14.25">
      <c r="A99" s="30"/>
    </row>
    <row r="100" ht="14.25">
      <c r="A100" s="30"/>
    </row>
    <row r="101" ht="14.25">
      <c r="A101" s="30"/>
    </row>
    <row r="102" ht="14.25">
      <c r="A102" s="30"/>
    </row>
    <row r="103" ht="14.25">
      <c r="A103" s="30"/>
    </row>
    <row r="104" ht="14.25">
      <c r="A104" s="30"/>
    </row>
    <row r="105" ht="14.25">
      <c r="A105" s="30"/>
    </row>
    <row r="106" ht="14.25">
      <c r="A106" s="30"/>
    </row>
    <row r="107" ht="14.25">
      <c r="A107" s="30"/>
    </row>
    <row r="108" ht="14.25">
      <c r="A108" s="30"/>
    </row>
    <row r="109" ht="14.25">
      <c r="A109" s="30"/>
    </row>
    <row r="110" ht="14.25">
      <c r="A110" s="30"/>
    </row>
    <row r="111" ht="14.25">
      <c r="A111" s="30"/>
    </row>
    <row r="112" ht="14.25">
      <c r="A112" s="30"/>
    </row>
    <row r="113" ht="14.25">
      <c r="A113" s="30"/>
    </row>
    <row r="114" ht="14.25">
      <c r="A114" s="30"/>
    </row>
    <row r="115" ht="14.25">
      <c r="A115" s="30"/>
    </row>
    <row r="116" ht="14.25">
      <c r="A116" s="30"/>
    </row>
    <row r="117" ht="14.25">
      <c r="A117" s="30"/>
    </row>
    <row r="118" ht="14.25">
      <c r="A118" s="30"/>
    </row>
    <row r="119" ht="14.25">
      <c r="A119" s="30"/>
    </row>
    <row r="120" ht="14.25">
      <c r="A120" s="30"/>
    </row>
    <row r="121" ht="14.25">
      <c r="A121" s="30"/>
    </row>
    <row r="122" ht="14.25">
      <c r="A122" s="30"/>
    </row>
    <row r="123" ht="14.25">
      <c r="A123" s="30"/>
    </row>
    <row r="124" ht="14.25">
      <c r="A124" s="30"/>
    </row>
    <row r="125" ht="14.25">
      <c r="A125" s="30"/>
    </row>
    <row r="126" ht="14.25">
      <c r="A126" s="30"/>
    </row>
    <row r="127" ht="14.25">
      <c r="A127" s="30"/>
    </row>
    <row r="128" ht="14.25">
      <c r="A128" s="30"/>
    </row>
    <row r="129" ht="14.25">
      <c r="A129" s="30"/>
    </row>
    <row r="130" ht="14.25">
      <c r="A130" s="30"/>
    </row>
    <row r="131" ht="14.25">
      <c r="A131" s="30"/>
    </row>
    <row r="132" ht="14.25">
      <c r="A132" s="30"/>
    </row>
    <row r="133" ht="14.25">
      <c r="A133" s="30"/>
    </row>
    <row r="134" ht="14.25">
      <c r="A134" s="30"/>
    </row>
    <row r="135" ht="14.25">
      <c r="A135" s="30"/>
    </row>
    <row r="136" ht="14.25">
      <c r="A136" s="30"/>
    </row>
    <row r="137" ht="14.25">
      <c r="A137" s="30"/>
    </row>
    <row r="138" ht="14.25">
      <c r="A138" s="30"/>
    </row>
    <row r="139" ht="14.25">
      <c r="A139" s="30"/>
    </row>
    <row r="140" ht="14.25">
      <c r="A140" s="30"/>
    </row>
    <row r="141" ht="14.25">
      <c r="A141" s="30"/>
    </row>
    <row r="142" ht="14.25">
      <c r="A142" s="30"/>
    </row>
    <row r="143" ht="14.25">
      <c r="A143" s="30"/>
    </row>
    <row r="144" ht="14.25">
      <c r="A144" s="30"/>
    </row>
    <row r="145" ht="14.25">
      <c r="A145" s="30"/>
    </row>
    <row r="146" ht="14.25">
      <c r="A146" s="30"/>
    </row>
    <row r="147" ht="14.25">
      <c r="A147" s="30"/>
    </row>
    <row r="148" ht="14.25">
      <c r="A148" s="30"/>
    </row>
    <row r="149" ht="14.25">
      <c r="A149" s="30"/>
    </row>
    <row r="150" ht="14.25">
      <c r="A150" s="30"/>
    </row>
    <row r="151" ht="14.25">
      <c r="A151" s="30"/>
    </row>
    <row r="152" ht="14.25">
      <c r="A152" s="30"/>
    </row>
    <row r="153" ht="14.25">
      <c r="A153" s="30"/>
    </row>
    <row r="154" ht="14.25">
      <c r="A154" s="30"/>
    </row>
    <row r="155" ht="14.25">
      <c r="A155" s="30"/>
    </row>
    <row r="156" ht="14.25">
      <c r="A156" s="30"/>
    </row>
  </sheetData>
  <sheetProtection/>
  <mergeCells count="26">
    <mergeCell ref="A1:U1"/>
    <mergeCell ref="A2:U2"/>
    <mergeCell ref="A3:U3"/>
    <mergeCell ref="J5:K5"/>
    <mergeCell ref="G5:H5"/>
    <mergeCell ref="C5:D5"/>
    <mergeCell ref="E5:F5"/>
    <mergeCell ref="L5:M5"/>
    <mergeCell ref="N5:O5"/>
    <mergeCell ref="A40:U40"/>
    <mergeCell ref="L41:M41"/>
    <mergeCell ref="N41:O41"/>
    <mergeCell ref="P41:R41"/>
    <mergeCell ref="P5:R5"/>
    <mergeCell ref="U5:U6"/>
    <mergeCell ref="U41:U42"/>
    <mergeCell ref="C41:D41"/>
    <mergeCell ref="E41:F41"/>
    <mergeCell ref="G41:H41"/>
    <mergeCell ref="J41:K41"/>
    <mergeCell ref="Q78:U78"/>
    <mergeCell ref="Q77:U77"/>
    <mergeCell ref="A77:F77"/>
    <mergeCell ref="A78:F78"/>
    <mergeCell ref="H77:O77"/>
    <mergeCell ref="H78:O78"/>
  </mergeCells>
  <printOptions/>
  <pageMargins left="0.35433070866141736" right="0.1968503937007874" top="0.4330708661417323" bottom="0.35" header="0.31496062992125984" footer="0.2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home</cp:lastModifiedBy>
  <cp:lastPrinted>2011-06-06T05:19:06Z</cp:lastPrinted>
  <dcterms:created xsi:type="dcterms:W3CDTF">2006-08-18T06:42:56Z</dcterms:created>
  <dcterms:modified xsi:type="dcterms:W3CDTF">2011-06-20T06:19:38Z</dcterms:modified>
  <cp:category/>
  <cp:version/>
  <cp:contentType/>
  <cp:contentStatus/>
</cp:coreProperties>
</file>